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F596619C-BB94-4EF4-962B-70AFEC9EF61C}" xr6:coauthVersionLast="47" xr6:coauthVersionMax="47" xr10:uidLastSave="{00000000-0000-0000-0000-000000000000}"/>
  <bookViews>
    <workbookView xWindow="-110" yWindow="-110" windowWidth="19420" windowHeight="1042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0" l="1"/>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F12" i="19"/>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22" i="14" l="1"/>
  <c r="F30" i="14"/>
  <c r="F38" i="14"/>
  <c r="F46" i="14"/>
  <c r="F54" i="14"/>
  <c r="F62" i="14"/>
  <c r="F70" i="14"/>
  <c r="F78" i="14"/>
  <c r="F86" i="14"/>
  <c r="F94" i="14"/>
  <c r="F102" i="14"/>
  <c r="F110" i="14"/>
  <c r="F118" i="14"/>
  <c r="F126" i="14"/>
  <c r="F134" i="14"/>
  <c r="F142" i="14"/>
  <c r="F150" i="14"/>
  <c r="F158" i="14"/>
  <c r="F166" i="14"/>
  <c r="F174" i="14"/>
  <c r="F182" i="14"/>
  <c r="F190" i="14"/>
  <c r="F198" i="14"/>
  <c r="F206" i="14"/>
  <c r="F214" i="14"/>
  <c r="F222" i="14"/>
  <c r="F230" i="14"/>
  <c r="F238" i="14"/>
  <c r="F246" i="14"/>
  <c r="F254" i="14"/>
  <c r="F262" i="14"/>
  <c r="F270" i="14"/>
  <c r="F278" i="14"/>
  <c r="F286" i="14"/>
  <c r="F294" i="14"/>
  <c r="F302" i="14"/>
  <c r="F310" i="14"/>
  <c r="F318" i="14"/>
  <c r="F326" i="14"/>
  <c r="F334" i="14"/>
  <c r="F342" i="14"/>
  <c r="F350" i="14"/>
  <c r="F358" i="14"/>
  <c r="F366" i="14"/>
  <c r="F374" i="14"/>
  <c r="F382" i="14"/>
  <c r="F390" i="14"/>
  <c r="F398" i="14"/>
  <c r="F406" i="14"/>
  <c r="F414" i="14"/>
  <c r="F422" i="14"/>
  <c r="F430" i="14"/>
  <c r="F438" i="14"/>
  <c r="F446" i="14"/>
  <c r="F454" i="14"/>
  <c r="F462" i="14"/>
  <c r="F470" i="14"/>
  <c r="F478" i="14"/>
  <c r="F486" i="14"/>
  <c r="F494" i="14"/>
  <c r="F502" i="14"/>
  <c r="F510" i="14"/>
  <c r="F518" i="14"/>
  <c r="F526" i="14"/>
  <c r="F534" i="14"/>
  <c r="F542" i="14"/>
  <c r="F550" i="14"/>
  <c r="F558" i="14"/>
  <c r="F566" i="14"/>
  <c r="F574" i="14"/>
  <c r="F582" i="14"/>
  <c r="F590" i="14"/>
  <c r="F598" i="14"/>
  <c r="F606" i="14"/>
  <c r="F614" i="14"/>
  <c r="F622" i="14"/>
  <c r="F630" i="14"/>
  <c r="F638" i="14"/>
  <c r="F646" i="14"/>
  <c r="F654" i="14"/>
  <c r="F662" i="14"/>
  <c r="F670" i="14"/>
  <c r="F678" i="14"/>
  <c r="F686" i="14"/>
  <c r="F694" i="14"/>
  <c r="F23" i="14"/>
  <c r="F31" i="14"/>
  <c r="F39" i="14"/>
  <c r="F47" i="14"/>
  <c r="F55" i="14"/>
  <c r="F63" i="14"/>
  <c r="F71" i="14"/>
  <c r="F79" i="14"/>
  <c r="F87" i="14"/>
  <c r="F95" i="14"/>
  <c r="F103" i="14"/>
  <c r="F111" i="14"/>
  <c r="F119" i="14"/>
  <c r="F127" i="14"/>
  <c r="F135" i="14"/>
  <c r="F143" i="14"/>
  <c r="F151" i="14"/>
  <c r="F159" i="14"/>
  <c r="F167" i="14"/>
  <c r="F175" i="14"/>
  <c r="F183" i="14"/>
  <c r="F191" i="14"/>
  <c r="F199" i="14"/>
  <c r="F207" i="14"/>
  <c r="F215" i="14"/>
  <c r="F223" i="14"/>
  <c r="F231" i="14"/>
  <c r="F239" i="14"/>
  <c r="F247" i="14"/>
  <c r="F255" i="14"/>
  <c r="F263" i="14"/>
  <c r="F271" i="14"/>
  <c r="F279" i="14"/>
  <c r="F287" i="14"/>
  <c r="F295" i="14"/>
  <c r="F303" i="14"/>
  <c r="F311" i="14"/>
  <c r="F319" i="14"/>
  <c r="F327" i="14"/>
  <c r="F335" i="14"/>
  <c r="F343" i="14"/>
  <c r="F351" i="14"/>
  <c r="F359" i="14"/>
  <c r="F367" i="14"/>
  <c r="F375" i="14"/>
  <c r="F383" i="14"/>
  <c r="F391" i="14"/>
  <c r="F399" i="14"/>
  <c r="F407" i="14"/>
  <c r="F415" i="14"/>
  <c r="F423" i="14"/>
  <c r="F431" i="14"/>
  <c r="F439" i="14"/>
  <c r="F447" i="14"/>
  <c r="F455" i="14"/>
  <c r="F463" i="14"/>
  <c r="F471" i="14"/>
  <c r="F479" i="14"/>
  <c r="F487" i="14"/>
  <c r="F495" i="14"/>
  <c r="F503" i="14"/>
  <c r="F511" i="14"/>
  <c r="F519" i="14"/>
  <c r="F527" i="14"/>
  <c r="F535" i="14"/>
  <c r="F543" i="14"/>
  <c r="F551" i="14"/>
  <c r="F559" i="14"/>
  <c r="F567" i="14"/>
  <c r="F575" i="14"/>
  <c r="F583" i="14"/>
  <c r="F591" i="14"/>
  <c r="F599" i="14"/>
  <c r="F607" i="14"/>
  <c r="F615" i="14"/>
  <c r="F623" i="14"/>
  <c r="F631" i="14"/>
  <c r="F639" i="14"/>
  <c r="F647" i="14"/>
  <c r="F655" i="14"/>
  <c r="F663" i="14"/>
  <c r="F671" i="14"/>
  <c r="F679" i="14"/>
  <c r="F687" i="14"/>
  <c r="F695" i="14"/>
  <c r="F24" i="14"/>
  <c r="F32" i="14"/>
  <c r="F40" i="14"/>
  <c r="F48" i="14"/>
  <c r="F56" i="14"/>
  <c r="F64" i="14"/>
  <c r="F72" i="14"/>
  <c r="F80" i="14"/>
  <c r="F88" i="14"/>
  <c r="F96" i="14"/>
  <c r="F104" i="14"/>
  <c r="F112" i="14"/>
  <c r="F120" i="14"/>
  <c r="F128" i="14"/>
  <c r="F136" i="14"/>
  <c r="F144" i="14"/>
  <c r="F152" i="14"/>
  <c r="F160" i="14"/>
  <c r="F168" i="14"/>
  <c r="F176" i="14"/>
  <c r="F184" i="14"/>
  <c r="F192" i="14"/>
  <c r="F200" i="14"/>
  <c r="F208" i="14"/>
  <c r="F216" i="14"/>
  <c r="F224" i="14"/>
  <c r="F232" i="14"/>
  <c r="F240" i="14"/>
  <c r="F248" i="14"/>
  <c r="F256" i="14"/>
  <c r="F264" i="14"/>
  <c r="F272" i="14"/>
  <c r="F280" i="14"/>
  <c r="F288" i="14"/>
  <c r="F296" i="14"/>
  <c r="F304" i="14"/>
  <c r="F312" i="14"/>
  <c r="F320" i="14"/>
  <c r="F328" i="14"/>
  <c r="F336" i="14"/>
  <c r="F344" i="14"/>
  <c r="F352" i="14"/>
  <c r="F360" i="14"/>
  <c r="F368" i="14"/>
  <c r="F376" i="14"/>
  <c r="F384" i="14"/>
  <c r="F392" i="14"/>
  <c r="F400" i="14"/>
  <c r="F408" i="14"/>
  <c r="F416" i="14"/>
  <c r="F424" i="14"/>
  <c r="F432" i="14"/>
  <c r="F440" i="14"/>
  <c r="F448" i="14"/>
  <c r="F456" i="14"/>
  <c r="F464" i="14"/>
  <c r="F472" i="14"/>
  <c r="F480" i="14"/>
  <c r="F488" i="14"/>
  <c r="F496" i="14"/>
  <c r="F504" i="14"/>
  <c r="F512" i="14"/>
  <c r="F520" i="14"/>
  <c r="F528" i="14"/>
  <c r="F536" i="14"/>
  <c r="F544" i="14"/>
  <c r="F552" i="14"/>
  <c r="F560" i="14"/>
  <c r="F568" i="14"/>
  <c r="F576" i="14"/>
  <c r="F584" i="14"/>
  <c r="F592" i="14"/>
  <c r="F600" i="14"/>
  <c r="F608" i="14"/>
  <c r="F616" i="14"/>
  <c r="F624" i="14"/>
  <c r="F632" i="14"/>
  <c r="F640" i="14"/>
  <c r="F648" i="14"/>
  <c r="F656" i="14"/>
  <c r="F664" i="14"/>
  <c r="F672" i="14"/>
  <c r="F680" i="14"/>
  <c r="F688" i="14"/>
  <c r="F696" i="14"/>
  <c r="F25" i="14"/>
  <c r="F33" i="14"/>
  <c r="F41" i="14"/>
  <c r="F49" i="14"/>
  <c r="F57" i="14"/>
  <c r="F65" i="14"/>
  <c r="F73" i="14"/>
  <c r="F81" i="14"/>
  <c r="F89" i="14"/>
  <c r="F97" i="14"/>
  <c r="F105" i="14"/>
  <c r="F113" i="14"/>
  <c r="F121" i="14"/>
  <c r="F129" i="14"/>
  <c r="F137" i="14"/>
  <c r="F145" i="14"/>
  <c r="F153" i="14"/>
  <c r="F161" i="14"/>
  <c r="F169" i="14"/>
  <c r="F177" i="14"/>
  <c r="F185" i="14"/>
  <c r="F193" i="14"/>
  <c r="F201" i="14"/>
  <c r="F209" i="14"/>
  <c r="F217" i="14"/>
  <c r="F225" i="14"/>
  <c r="F233" i="14"/>
  <c r="F241" i="14"/>
  <c r="F249" i="14"/>
  <c r="F257" i="14"/>
  <c r="F265" i="14"/>
  <c r="F273" i="14"/>
  <c r="F281" i="14"/>
  <c r="F289" i="14"/>
  <c r="F297" i="14"/>
  <c r="F305" i="14"/>
  <c r="F313" i="14"/>
  <c r="F321" i="14"/>
  <c r="F329" i="14"/>
  <c r="F337" i="14"/>
  <c r="F345" i="14"/>
  <c r="F353" i="14"/>
  <c r="F361" i="14"/>
  <c r="F369" i="14"/>
  <c r="F377" i="14"/>
  <c r="F385" i="14"/>
  <c r="F393" i="14"/>
  <c r="F401" i="14"/>
  <c r="F409" i="14"/>
  <c r="F417" i="14"/>
  <c r="F425" i="14"/>
  <c r="F433" i="14"/>
  <c r="F441" i="14"/>
  <c r="F449" i="14"/>
  <c r="F457" i="14"/>
  <c r="F465" i="14"/>
  <c r="F473" i="14"/>
  <c r="F481" i="14"/>
  <c r="F489" i="14"/>
  <c r="F497" i="14"/>
  <c r="F505" i="14"/>
  <c r="F513" i="14"/>
  <c r="F521" i="14"/>
  <c r="F529" i="14"/>
  <c r="F537" i="14"/>
  <c r="F545" i="14"/>
  <c r="F553" i="14"/>
  <c r="F561" i="14"/>
  <c r="F569" i="14"/>
  <c r="F577" i="14"/>
  <c r="F585" i="14"/>
  <c r="F593" i="14"/>
  <c r="F601" i="14"/>
  <c r="F609" i="14"/>
  <c r="F617" i="14"/>
  <c r="F625" i="14"/>
  <c r="F633" i="14"/>
  <c r="F641" i="14"/>
  <c r="F649" i="14"/>
  <c r="F657" i="14"/>
  <c r="F665" i="14"/>
  <c r="F673" i="14"/>
  <c r="F681" i="14"/>
  <c r="F689" i="14"/>
  <c r="F697" i="14"/>
  <c r="F28" i="14"/>
  <c r="F36" i="14"/>
  <c r="F44" i="14"/>
  <c r="F52" i="14"/>
  <c r="F60" i="14"/>
  <c r="F68" i="14"/>
  <c r="F76" i="14"/>
  <c r="F84" i="14"/>
  <c r="F92" i="14"/>
  <c r="F100" i="14"/>
  <c r="F108" i="14"/>
  <c r="F116" i="14"/>
  <c r="F124" i="14"/>
  <c r="F132" i="14"/>
  <c r="F140" i="14"/>
  <c r="F148" i="14"/>
  <c r="F156" i="14"/>
  <c r="F164" i="14"/>
  <c r="F172" i="14"/>
  <c r="F180" i="14"/>
  <c r="F188" i="14"/>
  <c r="F196" i="14"/>
  <c r="F204" i="14"/>
  <c r="F212" i="14"/>
  <c r="F220" i="14"/>
  <c r="F228" i="14"/>
  <c r="F236" i="14"/>
  <c r="F244" i="14"/>
  <c r="F252" i="14"/>
  <c r="F260" i="14"/>
  <c r="F268" i="14"/>
  <c r="F276" i="14"/>
  <c r="F284" i="14"/>
  <c r="F292" i="14"/>
  <c r="F300" i="14"/>
  <c r="F308" i="14"/>
  <c r="F316" i="14"/>
  <c r="F324" i="14"/>
  <c r="F332" i="14"/>
  <c r="F340" i="14"/>
  <c r="F348" i="14"/>
  <c r="F356" i="14"/>
  <c r="F364" i="14"/>
  <c r="F372" i="14"/>
  <c r="F380" i="14"/>
  <c r="F388" i="14"/>
  <c r="F396" i="14"/>
  <c r="F404" i="14"/>
  <c r="F412" i="14"/>
  <c r="F420" i="14"/>
  <c r="F428" i="14"/>
  <c r="F436" i="14"/>
  <c r="F444" i="14"/>
  <c r="F452" i="14"/>
  <c r="F460" i="14"/>
  <c r="F468" i="14"/>
  <c r="F476" i="14"/>
  <c r="F484" i="14"/>
  <c r="F492" i="14"/>
  <c r="F500" i="14"/>
  <c r="F508" i="14"/>
  <c r="F516" i="14"/>
  <c r="F524" i="14"/>
  <c r="F532" i="14"/>
  <c r="F540" i="14"/>
  <c r="F548" i="14"/>
  <c r="F556" i="14"/>
  <c r="F564" i="14"/>
  <c r="F572" i="14"/>
  <c r="F580" i="14"/>
  <c r="F588" i="14"/>
  <c r="F596" i="14"/>
  <c r="F604" i="14"/>
  <c r="F612" i="14"/>
  <c r="F620" i="14"/>
  <c r="F628" i="14"/>
  <c r="F636" i="14"/>
  <c r="F644" i="14"/>
  <c r="F652" i="14"/>
  <c r="F660" i="14"/>
  <c r="F668" i="14"/>
  <c r="F676" i="14"/>
  <c r="F684" i="14"/>
  <c r="F692" i="14"/>
  <c r="F700" i="14"/>
  <c r="F29" i="14"/>
  <c r="F37" i="14"/>
  <c r="F45" i="14"/>
  <c r="F53" i="14"/>
  <c r="F61" i="14"/>
  <c r="F69" i="14"/>
  <c r="F77" i="14"/>
  <c r="F85" i="14"/>
  <c r="F93" i="14"/>
  <c r="F101" i="14"/>
  <c r="F109" i="14"/>
  <c r="F117" i="14"/>
  <c r="F125" i="14"/>
  <c r="F133" i="14"/>
  <c r="F141" i="14"/>
  <c r="F149" i="14"/>
  <c r="F157" i="14"/>
  <c r="F165" i="14"/>
  <c r="F173" i="14"/>
  <c r="F181" i="14"/>
  <c r="F189" i="14"/>
  <c r="F197" i="14"/>
  <c r="F205" i="14"/>
  <c r="F213" i="14"/>
  <c r="F221" i="14"/>
  <c r="F229" i="14"/>
  <c r="F237" i="14"/>
  <c r="F245" i="14"/>
  <c r="F253" i="14"/>
  <c r="F261" i="14"/>
  <c r="F269" i="14"/>
  <c r="F277" i="14"/>
  <c r="F285" i="14"/>
  <c r="F293" i="14"/>
  <c r="F301" i="14"/>
  <c r="F309" i="14"/>
  <c r="F317" i="14"/>
  <c r="F325" i="14"/>
  <c r="F333" i="14"/>
  <c r="F341" i="14"/>
  <c r="F349" i="14"/>
  <c r="F357" i="14"/>
  <c r="F365" i="14"/>
  <c r="F373" i="14"/>
  <c r="F381" i="14"/>
  <c r="F389" i="14"/>
  <c r="F397" i="14"/>
  <c r="F405" i="14"/>
  <c r="F413" i="14"/>
  <c r="F421" i="14"/>
  <c r="F429" i="14"/>
  <c r="F437" i="14"/>
  <c r="F445" i="14"/>
  <c r="F453" i="14"/>
  <c r="F461" i="14"/>
  <c r="F469" i="14"/>
  <c r="F477" i="14"/>
  <c r="F485" i="14"/>
  <c r="F493" i="14"/>
  <c r="F501" i="14"/>
  <c r="F509" i="14"/>
  <c r="F517" i="14"/>
  <c r="F525" i="14"/>
  <c r="F533" i="14"/>
  <c r="F541" i="14"/>
  <c r="F549" i="14"/>
  <c r="F557" i="14"/>
  <c r="F565" i="14"/>
  <c r="F573" i="14"/>
  <c r="F581" i="14"/>
  <c r="F589" i="14"/>
  <c r="F597" i="14"/>
  <c r="F605" i="14"/>
  <c r="F613" i="14"/>
  <c r="F621" i="14"/>
  <c r="F629" i="14"/>
  <c r="F637" i="14"/>
  <c r="F645" i="14"/>
  <c r="F653" i="14"/>
  <c r="F661" i="14"/>
  <c r="F669" i="14"/>
  <c r="F677" i="14"/>
  <c r="F685" i="14"/>
  <c r="F693" i="14"/>
  <c r="F701" i="14"/>
  <c r="F26" i="14"/>
  <c r="F58" i="14"/>
  <c r="F90" i="14"/>
  <c r="F122" i="14"/>
  <c r="F154" i="14"/>
  <c r="F186" i="14"/>
  <c r="F218" i="14"/>
  <c r="F250" i="14"/>
  <c r="F282" i="14"/>
  <c r="F314" i="14"/>
  <c r="F346" i="14"/>
  <c r="F378" i="14"/>
  <c r="F410" i="14"/>
  <c r="F442" i="14"/>
  <c r="F474" i="14"/>
  <c r="F506" i="14"/>
  <c r="F538" i="14"/>
  <c r="F570" i="14"/>
  <c r="F602" i="14"/>
  <c r="F634" i="14"/>
  <c r="F666" i="14"/>
  <c r="F698" i="14"/>
  <c r="F708" i="14"/>
  <c r="F716" i="14"/>
  <c r="F724" i="14"/>
  <c r="F732" i="14"/>
  <c r="F740" i="14"/>
  <c r="F748" i="14"/>
  <c r="F756" i="14"/>
  <c r="F764" i="14"/>
  <c r="F772" i="14"/>
  <c r="F780" i="14"/>
  <c r="F788" i="14"/>
  <c r="F796" i="14"/>
  <c r="F804" i="14"/>
  <c r="F812" i="14"/>
  <c r="F138" i="14"/>
  <c r="F234" i="14"/>
  <c r="F394" i="14"/>
  <c r="F554" i="14"/>
  <c r="F720" i="14"/>
  <c r="F768" i="14"/>
  <c r="F107" i="14"/>
  <c r="F395" i="14"/>
  <c r="F619" i="14"/>
  <c r="F729" i="14"/>
  <c r="F785" i="14"/>
  <c r="F27" i="14"/>
  <c r="F59" i="14"/>
  <c r="F91" i="14"/>
  <c r="F123" i="14"/>
  <c r="F155" i="14"/>
  <c r="F187" i="14"/>
  <c r="F219" i="14"/>
  <c r="F251" i="14"/>
  <c r="F283" i="14"/>
  <c r="F315" i="14"/>
  <c r="F347" i="14"/>
  <c r="F379" i="14"/>
  <c r="F411" i="14"/>
  <c r="F443" i="14"/>
  <c r="F475" i="14"/>
  <c r="F507" i="14"/>
  <c r="F539" i="14"/>
  <c r="F571" i="14"/>
  <c r="F603" i="14"/>
  <c r="F635" i="14"/>
  <c r="F667" i="14"/>
  <c r="F699" i="14"/>
  <c r="F709" i="14"/>
  <c r="F717" i="14"/>
  <c r="F725" i="14"/>
  <c r="F733" i="14"/>
  <c r="F741" i="14"/>
  <c r="F749" i="14"/>
  <c r="F757" i="14"/>
  <c r="F765" i="14"/>
  <c r="F773" i="14"/>
  <c r="F781" i="14"/>
  <c r="F789" i="14"/>
  <c r="F797" i="14"/>
  <c r="F805" i="14"/>
  <c r="F106" i="14"/>
  <c r="F170" i="14"/>
  <c r="F362" i="14"/>
  <c r="F490" i="14"/>
  <c r="F650" i="14"/>
  <c r="F728" i="14"/>
  <c r="F776" i="14"/>
  <c r="F139" i="14"/>
  <c r="F363" i="14"/>
  <c r="F587" i="14"/>
  <c r="F721" i="14"/>
  <c r="F769" i="14"/>
  <c r="F34" i="14"/>
  <c r="F66" i="14"/>
  <c r="F98" i="14"/>
  <c r="F130" i="14"/>
  <c r="F162" i="14"/>
  <c r="F194" i="14"/>
  <c r="F226" i="14"/>
  <c r="F258" i="14"/>
  <c r="F290" i="14"/>
  <c r="F322" i="14"/>
  <c r="F354" i="14"/>
  <c r="F386" i="14"/>
  <c r="F418" i="14"/>
  <c r="F450" i="14"/>
  <c r="F482" i="14"/>
  <c r="F514" i="14"/>
  <c r="F546" i="14"/>
  <c r="F578" i="14"/>
  <c r="F610" i="14"/>
  <c r="F642" i="14"/>
  <c r="F674" i="14"/>
  <c r="F702" i="14"/>
  <c r="F710" i="14"/>
  <c r="F718" i="14"/>
  <c r="F726" i="14"/>
  <c r="F734" i="14"/>
  <c r="F742" i="14"/>
  <c r="F750" i="14"/>
  <c r="F758" i="14"/>
  <c r="F766" i="14"/>
  <c r="F774" i="14"/>
  <c r="F782" i="14"/>
  <c r="F790" i="14"/>
  <c r="F798" i="14"/>
  <c r="F806" i="14"/>
  <c r="F74" i="14"/>
  <c r="F202" i="14"/>
  <c r="F426" i="14"/>
  <c r="F522" i="14"/>
  <c r="F704" i="14"/>
  <c r="F760" i="14"/>
  <c r="F808" i="14"/>
  <c r="F171" i="14"/>
  <c r="F267" i="14"/>
  <c r="F427" i="14"/>
  <c r="F555" i="14"/>
  <c r="F683" i="14"/>
  <c r="F737" i="14"/>
  <c r="F777" i="14"/>
  <c r="F35" i="14"/>
  <c r="F67" i="14"/>
  <c r="F99" i="14"/>
  <c r="F131" i="14"/>
  <c r="F163" i="14"/>
  <c r="F195" i="14"/>
  <c r="F227" i="14"/>
  <c r="F259" i="14"/>
  <c r="F291" i="14"/>
  <c r="F323" i="14"/>
  <c r="F355" i="14"/>
  <c r="F387" i="14"/>
  <c r="F419" i="14"/>
  <c r="F451" i="14"/>
  <c r="F483" i="14"/>
  <c r="F515" i="14"/>
  <c r="F547" i="14"/>
  <c r="F579" i="14"/>
  <c r="F611" i="14"/>
  <c r="F643" i="14"/>
  <c r="F675" i="14"/>
  <c r="F703" i="14"/>
  <c r="F711" i="14"/>
  <c r="F719" i="14"/>
  <c r="F727" i="14"/>
  <c r="F735" i="14"/>
  <c r="F743" i="14"/>
  <c r="F751" i="14"/>
  <c r="F759" i="14"/>
  <c r="F767" i="14"/>
  <c r="F775" i="14"/>
  <c r="F783" i="14"/>
  <c r="F791" i="14"/>
  <c r="F799" i="14"/>
  <c r="F807" i="14"/>
  <c r="F42" i="14"/>
  <c r="F266" i="14"/>
  <c r="F458" i="14"/>
  <c r="F586" i="14"/>
  <c r="F712" i="14"/>
  <c r="F752" i="14"/>
  <c r="F800" i="14"/>
  <c r="F203" i="14"/>
  <c r="F331" i="14"/>
  <c r="F491" i="14"/>
  <c r="F713" i="14"/>
  <c r="F761" i="14"/>
  <c r="F809" i="14"/>
  <c r="F50" i="14"/>
  <c r="F82" i="14"/>
  <c r="F114" i="14"/>
  <c r="F146" i="14"/>
  <c r="F178" i="14"/>
  <c r="F210" i="14"/>
  <c r="F242" i="14"/>
  <c r="F274" i="14"/>
  <c r="F306" i="14"/>
  <c r="F338" i="14"/>
  <c r="F370" i="14"/>
  <c r="F402" i="14"/>
  <c r="F434" i="14"/>
  <c r="F466" i="14"/>
  <c r="F498" i="14"/>
  <c r="F530" i="14"/>
  <c r="F562" i="14"/>
  <c r="F594" i="14"/>
  <c r="F626" i="14"/>
  <c r="F658" i="14"/>
  <c r="F690" i="14"/>
  <c r="F706" i="14"/>
  <c r="F714" i="14"/>
  <c r="F722" i="14"/>
  <c r="F730" i="14"/>
  <c r="F738" i="14"/>
  <c r="F746" i="14"/>
  <c r="F754" i="14"/>
  <c r="F762" i="14"/>
  <c r="F770" i="14"/>
  <c r="F778" i="14"/>
  <c r="F786" i="14"/>
  <c r="F794" i="14"/>
  <c r="F802" i="14"/>
  <c r="F810" i="14"/>
  <c r="F715" i="14"/>
  <c r="F739" i="14"/>
  <c r="F755" i="14"/>
  <c r="F771" i="14"/>
  <c r="F787" i="14"/>
  <c r="F803" i="14"/>
  <c r="F298" i="14"/>
  <c r="F682" i="14"/>
  <c r="F744" i="14"/>
  <c r="F784" i="14"/>
  <c r="F75" i="14"/>
  <c r="F235" i="14"/>
  <c r="F459" i="14"/>
  <c r="F705" i="14"/>
  <c r="F753" i="14"/>
  <c r="F801" i="14"/>
  <c r="F51" i="14"/>
  <c r="F83" i="14"/>
  <c r="F115" i="14"/>
  <c r="F147" i="14"/>
  <c r="F179" i="14"/>
  <c r="F211" i="14"/>
  <c r="F243" i="14"/>
  <c r="F275" i="14"/>
  <c r="F307" i="14"/>
  <c r="F339" i="14"/>
  <c r="F371" i="14"/>
  <c r="F403" i="14"/>
  <c r="F435" i="14"/>
  <c r="F467" i="14"/>
  <c r="F499" i="14"/>
  <c r="F531" i="14"/>
  <c r="F563" i="14"/>
  <c r="F595" i="14"/>
  <c r="F627" i="14"/>
  <c r="F659" i="14"/>
  <c r="F691" i="14"/>
  <c r="F707" i="14"/>
  <c r="F723" i="14"/>
  <c r="F731" i="14"/>
  <c r="F747" i="14"/>
  <c r="F763" i="14"/>
  <c r="F779" i="14"/>
  <c r="F795" i="14"/>
  <c r="F811" i="14"/>
  <c r="F330" i="14"/>
  <c r="F618" i="14"/>
  <c r="F736" i="14"/>
  <c r="F792" i="14"/>
  <c r="F43" i="14"/>
  <c r="F299" i="14"/>
  <c r="F523" i="14"/>
  <c r="F651" i="14"/>
  <c r="F745" i="14"/>
  <c r="F793" i="14"/>
  <c r="F598" i="16"/>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824" i="14"/>
  <c r="F833" i="14"/>
  <c r="F842" i="14"/>
  <c r="F856" i="14"/>
  <c r="F865" i="14"/>
  <c r="F874" i="14"/>
  <c r="F888" i="14"/>
  <c r="F897" i="14"/>
  <c r="F906" i="14"/>
  <c r="F920" i="14"/>
  <c r="F929" i="14"/>
  <c r="F938" i="14"/>
  <c r="F952" i="14"/>
  <c r="F961" i="14"/>
  <c r="F970"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816" i="14"/>
  <c r="F825" i="14"/>
  <c r="F834" i="14"/>
  <c r="F848" i="14"/>
  <c r="F857" i="14"/>
  <c r="F866" i="14"/>
  <c r="F880" i="14"/>
  <c r="F889" i="14"/>
  <c r="F898" i="14"/>
  <c r="F912" i="14"/>
  <c r="F921" i="14"/>
  <c r="F930" i="14"/>
  <c r="F944" i="14"/>
  <c r="F953" i="14"/>
  <c r="F962" i="14"/>
  <c r="F976"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878" i="14"/>
  <c r="F885" i="14"/>
  <c r="F892" i="14"/>
  <c r="F985" i="14"/>
  <c r="F1008" i="14"/>
  <c r="F1020"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814" i="14"/>
  <c r="F821" i="14"/>
  <c r="F828" i="14"/>
  <c r="F942" i="14"/>
  <c r="F949" i="14"/>
  <c r="F956" i="14"/>
  <c r="F98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P681" i="16" s="1"/>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J157" i="14"/>
  <c r="J165" i="14"/>
  <c r="P165" i="14" s="1"/>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J134" i="14"/>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J87" i="14"/>
  <c r="J95" i="14"/>
  <c r="J103" i="14"/>
  <c r="J111" i="14"/>
  <c r="J119" i="14"/>
  <c r="J127" i="14"/>
  <c r="J135" i="14"/>
  <c r="J143" i="14"/>
  <c r="P143" i="14" s="1"/>
  <c r="J151" i="14"/>
  <c r="J159" i="14"/>
  <c r="J167" i="14"/>
  <c r="J175" i="14"/>
  <c r="J183" i="14"/>
  <c r="J191" i="14"/>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J112" i="14"/>
  <c r="J120" i="14"/>
  <c r="J128" i="14"/>
  <c r="J136" i="14"/>
  <c r="J144" i="14"/>
  <c r="J152" i="14"/>
  <c r="J160" i="14"/>
  <c r="J168" i="14"/>
  <c r="P168" i="14" s="1"/>
  <c r="J176" i="14"/>
  <c r="J184" i="14"/>
  <c r="J192" i="14"/>
  <c r="J200" i="14"/>
  <c r="J208" i="14"/>
  <c r="J216" i="14"/>
  <c r="J224" i="14"/>
  <c r="J232" i="14"/>
  <c r="P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J114" i="14"/>
  <c r="J122" i="14"/>
  <c r="J130" i="14"/>
  <c r="J138" i="14"/>
  <c r="J146" i="14"/>
  <c r="J154" i="14"/>
  <c r="J162" i="14"/>
  <c r="J170" i="14"/>
  <c r="P170" i="14" s="1"/>
  <c r="J178" i="14"/>
  <c r="J186" i="14"/>
  <c r="J194" i="14"/>
  <c r="J202" i="14"/>
  <c r="J210" i="14"/>
  <c r="J218" i="14"/>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J131" i="14"/>
  <c r="P131" i="14" s="1"/>
  <c r="J139" i="14"/>
  <c r="J147" i="14"/>
  <c r="J155" i="14"/>
  <c r="J163" i="14"/>
  <c r="J171" i="14"/>
  <c r="J179" i="14"/>
  <c r="J187" i="14"/>
  <c r="J195" i="14"/>
  <c r="P195" i="14" s="1"/>
  <c r="J203" i="14"/>
  <c r="J211" i="14"/>
  <c r="J219" i="14"/>
  <c r="J227" i="14"/>
  <c r="J235" i="14"/>
  <c r="J243" i="14"/>
  <c r="J251" i="14"/>
  <c r="J259" i="14"/>
  <c r="P259" i="14" s="1"/>
  <c r="J267" i="14"/>
  <c r="J275" i="14"/>
  <c r="J283" i="14"/>
  <c r="J1602" i="16"/>
  <c r="J1959" i="16"/>
  <c r="J2132" i="16"/>
  <c r="J2301" i="16"/>
  <c r="J2384" i="16"/>
  <c r="P2384" i="16" s="1"/>
  <c r="J2448" i="16"/>
  <c r="J2512" i="16"/>
  <c r="J68" i="14"/>
  <c r="J132" i="14"/>
  <c r="J196" i="14"/>
  <c r="J250" i="14"/>
  <c r="J261" i="14"/>
  <c r="J271" i="14"/>
  <c r="P271" i="14" s="1"/>
  <c r="J282" i="14"/>
  <c r="J291" i="14"/>
  <c r="J299" i="14"/>
  <c r="J307" i="14"/>
  <c r="J315" i="14"/>
  <c r="J323" i="14"/>
  <c r="J331" i="14"/>
  <c r="J339" i="14"/>
  <c r="P339" i="14" s="1"/>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J523" i="14"/>
  <c r="J531" i="14"/>
  <c r="P531" i="14" s="1"/>
  <c r="J539" i="14"/>
  <c r="J547" i="14"/>
  <c r="J555" i="14"/>
  <c r="J563" i="14"/>
  <c r="J571" i="14"/>
  <c r="J579" i="14"/>
  <c r="J587" i="14"/>
  <c r="J595" i="14"/>
  <c r="P595" i="14" s="1"/>
  <c r="J603" i="14"/>
  <c r="J611" i="14"/>
  <c r="J619" i="14"/>
  <c r="J627" i="14"/>
  <c r="J635" i="14"/>
  <c r="J643" i="14"/>
  <c r="J651" i="14"/>
  <c r="J659" i="14"/>
  <c r="P659" i="14" s="1"/>
  <c r="J667" i="14"/>
  <c r="J675" i="14"/>
  <c r="J683" i="14"/>
  <c r="J691" i="14"/>
  <c r="J699" i="14"/>
  <c r="J707" i="14"/>
  <c r="J715" i="14"/>
  <c r="J723" i="14"/>
  <c r="P723" i="14" s="1"/>
  <c r="J731" i="14"/>
  <c r="J739" i="14"/>
  <c r="J747" i="14"/>
  <c r="J755" i="14"/>
  <c r="J763" i="14"/>
  <c r="J771" i="14"/>
  <c r="J779" i="14"/>
  <c r="J787" i="14"/>
  <c r="P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J308" i="14"/>
  <c r="J316" i="14"/>
  <c r="J324" i="14"/>
  <c r="J332" i="14"/>
  <c r="J340" i="14"/>
  <c r="J348" i="14"/>
  <c r="J356" i="14"/>
  <c r="J364" i="14"/>
  <c r="P364" i="14" s="1"/>
  <c r="J372" i="14"/>
  <c r="J380" i="14"/>
  <c r="J388" i="14"/>
  <c r="J396" i="14"/>
  <c r="J404" i="14"/>
  <c r="J412" i="14"/>
  <c r="J420" i="14"/>
  <c r="J428" i="14"/>
  <c r="P428" i="14" s="1"/>
  <c r="J436" i="14"/>
  <c r="J444" i="14"/>
  <c r="J452" i="14"/>
  <c r="J460" i="14"/>
  <c r="J468" i="14"/>
  <c r="J476" i="14"/>
  <c r="J484" i="14"/>
  <c r="J492" i="14"/>
  <c r="P492" i="14" s="1"/>
  <c r="J500" i="14"/>
  <c r="J508" i="14"/>
  <c r="J516" i="14"/>
  <c r="J524" i="14"/>
  <c r="J532" i="14"/>
  <c r="J540" i="14"/>
  <c r="J548" i="14"/>
  <c r="J556" i="14"/>
  <c r="P556" i="14" s="1"/>
  <c r="J564" i="14"/>
  <c r="J572" i="14"/>
  <c r="J580" i="14"/>
  <c r="J588" i="14"/>
  <c r="J596" i="14"/>
  <c r="J604" i="14"/>
  <c r="J612" i="14"/>
  <c r="J620" i="14"/>
  <c r="P620" i="14" s="1"/>
  <c r="J628" i="14"/>
  <c r="J636" i="14"/>
  <c r="J644" i="14"/>
  <c r="J652" i="14"/>
  <c r="J660" i="14"/>
  <c r="J668" i="14"/>
  <c r="J676" i="14"/>
  <c r="J684" i="14"/>
  <c r="P684" i="14" s="1"/>
  <c r="J692" i="14"/>
  <c r="J700" i="14"/>
  <c r="J708" i="14"/>
  <c r="J716" i="14"/>
  <c r="J724" i="14"/>
  <c r="J732" i="14"/>
  <c r="J740" i="14"/>
  <c r="J748" i="14"/>
  <c r="P748" i="14" s="1"/>
  <c r="J756" i="14"/>
  <c r="J764" i="14"/>
  <c r="J772" i="14"/>
  <c r="J780" i="14"/>
  <c r="J788" i="14"/>
  <c r="J796" i="14"/>
  <c r="J804" i="14"/>
  <c r="J812" i="14"/>
  <c r="P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J373" i="14"/>
  <c r="J381" i="14"/>
  <c r="P381" i="14" s="1"/>
  <c r="J389" i="14"/>
  <c r="J397" i="14"/>
  <c r="J405" i="14"/>
  <c r="J413" i="14"/>
  <c r="J421" i="14"/>
  <c r="J429" i="14"/>
  <c r="J437" i="14"/>
  <c r="J445" i="14"/>
  <c r="P445" i="14" s="1"/>
  <c r="J453" i="14"/>
  <c r="J461" i="14"/>
  <c r="J469" i="14"/>
  <c r="J477" i="14"/>
  <c r="J485" i="14"/>
  <c r="J493" i="14"/>
  <c r="J501" i="14"/>
  <c r="J509" i="14"/>
  <c r="P509" i="14" s="1"/>
  <c r="J517" i="14"/>
  <c r="J525" i="14"/>
  <c r="J533" i="14"/>
  <c r="J541" i="14"/>
  <c r="J549" i="14"/>
  <c r="J557" i="14"/>
  <c r="J565" i="14"/>
  <c r="J573" i="14"/>
  <c r="P573" i="14" s="1"/>
  <c r="J581" i="14"/>
  <c r="J589" i="14"/>
  <c r="J597" i="14"/>
  <c r="J605" i="14"/>
  <c r="J613" i="14"/>
  <c r="J621" i="14"/>
  <c r="J629" i="14"/>
  <c r="J637" i="14"/>
  <c r="P637" i="14" s="1"/>
  <c r="J645" i="14"/>
  <c r="J653" i="14"/>
  <c r="J661" i="14"/>
  <c r="J669" i="14"/>
  <c r="J677" i="14"/>
  <c r="J685" i="14"/>
  <c r="J693" i="14"/>
  <c r="J701" i="14"/>
  <c r="P701" i="14" s="1"/>
  <c r="J709" i="14"/>
  <c r="J717" i="14"/>
  <c r="J725" i="14"/>
  <c r="J733" i="14"/>
  <c r="J741" i="14"/>
  <c r="J749" i="14"/>
  <c r="J757" i="14"/>
  <c r="J765" i="14"/>
  <c r="P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J276" i="14"/>
  <c r="J286" i="14"/>
  <c r="J294" i="14"/>
  <c r="J302" i="14"/>
  <c r="J310" i="14"/>
  <c r="J318" i="14"/>
  <c r="J326" i="14"/>
  <c r="J334" i="14"/>
  <c r="P334" i="14" s="1"/>
  <c r="J342" i="14"/>
  <c r="J350" i="14"/>
  <c r="J358" i="14"/>
  <c r="J366" i="14"/>
  <c r="J374" i="14"/>
  <c r="J382" i="14"/>
  <c r="J390" i="14"/>
  <c r="J398" i="14"/>
  <c r="P398" i="14" s="1"/>
  <c r="J406" i="14"/>
  <c r="J414" i="14"/>
  <c r="J422" i="14"/>
  <c r="J430" i="14"/>
  <c r="J438" i="14"/>
  <c r="J446" i="14"/>
  <c r="J454" i="14"/>
  <c r="J462" i="14"/>
  <c r="P462" i="14" s="1"/>
  <c r="J470" i="14"/>
  <c r="J478" i="14"/>
  <c r="J486" i="14"/>
  <c r="J494" i="14"/>
  <c r="J502" i="14"/>
  <c r="J510" i="14"/>
  <c r="J518" i="14"/>
  <c r="J526" i="14"/>
  <c r="P526" i="14" s="1"/>
  <c r="J534" i="14"/>
  <c r="J542" i="14"/>
  <c r="J550" i="14"/>
  <c r="J558" i="14"/>
  <c r="J566" i="14"/>
  <c r="J574" i="14"/>
  <c r="J582" i="14"/>
  <c r="J590" i="14"/>
  <c r="P590" i="14" s="1"/>
  <c r="J598" i="14"/>
  <c r="J606" i="14"/>
  <c r="J614" i="14"/>
  <c r="J622" i="14"/>
  <c r="J630" i="14"/>
  <c r="J638" i="14"/>
  <c r="J646" i="14"/>
  <c r="J654" i="14"/>
  <c r="P654" i="14" s="1"/>
  <c r="J662" i="14"/>
  <c r="J670" i="14"/>
  <c r="J678" i="14"/>
  <c r="J686" i="14"/>
  <c r="J694" i="14"/>
  <c r="J702" i="14"/>
  <c r="J710" i="14"/>
  <c r="J718" i="14"/>
  <c r="P718" i="14" s="1"/>
  <c r="J726" i="14"/>
  <c r="J734" i="14"/>
  <c r="J742" i="14"/>
  <c r="J750" i="14"/>
  <c r="J758" i="14"/>
  <c r="J766" i="14"/>
  <c r="J774" i="14"/>
  <c r="J782" i="14"/>
  <c r="P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J295" i="14"/>
  <c r="J303" i="14"/>
  <c r="J311" i="14"/>
  <c r="J319" i="14"/>
  <c r="J327" i="14"/>
  <c r="J335" i="14"/>
  <c r="J343" i="14"/>
  <c r="J351" i="14"/>
  <c r="P351" i="14" s="1"/>
  <c r="J359" i="14"/>
  <c r="J367" i="14"/>
  <c r="J375" i="14"/>
  <c r="J383" i="14"/>
  <c r="J391" i="14"/>
  <c r="J399" i="14"/>
  <c r="J407" i="14"/>
  <c r="J415" i="14"/>
  <c r="P415" i="14" s="1"/>
  <c r="J423" i="14"/>
  <c r="J431" i="14"/>
  <c r="J439" i="14"/>
  <c r="J447" i="14"/>
  <c r="J455" i="14"/>
  <c r="J463" i="14"/>
  <c r="J471" i="14"/>
  <c r="J479" i="14"/>
  <c r="P479" i="14" s="1"/>
  <c r="J487" i="14"/>
  <c r="J495" i="14"/>
  <c r="J503" i="14"/>
  <c r="J511" i="14"/>
  <c r="J519" i="14"/>
  <c r="J527" i="14"/>
  <c r="J535" i="14"/>
  <c r="J543" i="14"/>
  <c r="P543" i="14" s="1"/>
  <c r="J551" i="14"/>
  <c r="J559" i="14"/>
  <c r="J567" i="14"/>
  <c r="J575" i="14"/>
  <c r="J583" i="14"/>
  <c r="J591" i="14"/>
  <c r="J599" i="14"/>
  <c r="J607" i="14"/>
  <c r="P607" i="14" s="1"/>
  <c r="J615" i="14"/>
  <c r="J623" i="14"/>
  <c r="J631" i="14"/>
  <c r="J639" i="14"/>
  <c r="J647" i="14"/>
  <c r="J655" i="14"/>
  <c r="J663" i="14"/>
  <c r="J671" i="14"/>
  <c r="P671" i="14" s="1"/>
  <c r="J679" i="14"/>
  <c r="J687" i="14"/>
  <c r="J695" i="14"/>
  <c r="J703" i="14"/>
  <c r="J711" i="14"/>
  <c r="J719" i="14"/>
  <c r="J727" i="14"/>
  <c r="J735" i="14"/>
  <c r="P735" i="14" s="1"/>
  <c r="J743" i="14"/>
  <c r="J751" i="14"/>
  <c r="J759" i="14"/>
  <c r="J767" i="14"/>
  <c r="J775" i="14"/>
  <c r="J783" i="14"/>
  <c r="J791" i="14"/>
  <c r="J799" i="14"/>
  <c r="P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J320" i="14"/>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J512" i="14"/>
  <c r="J520" i="14"/>
  <c r="J528" i="14"/>
  <c r="J536" i="14"/>
  <c r="J544" i="14"/>
  <c r="J552" i="14"/>
  <c r="J560" i="14"/>
  <c r="J568" i="14"/>
  <c r="P568" i="14" s="1"/>
  <c r="J576" i="14"/>
  <c r="J584" i="14"/>
  <c r="J592" i="14"/>
  <c r="J600" i="14"/>
  <c r="J608" i="14"/>
  <c r="J616" i="14"/>
  <c r="J624" i="14"/>
  <c r="J632" i="14"/>
  <c r="P632" i="14" s="1"/>
  <c r="J640" i="14"/>
  <c r="J648" i="14"/>
  <c r="J656" i="14"/>
  <c r="J664" i="14"/>
  <c r="J672" i="14"/>
  <c r="J680" i="14"/>
  <c r="J688" i="14"/>
  <c r="J696" i="14"/>
  <c r="P696" i="14" s="1"/>
  <c r="J704" i="14"/>
  <c r="J712" i="14"/>
  <c r="J720" i="14"/>
  <c r="J728" i="14"/>
  <c r="J736" i="14"/>
  <c r="J744" i="14"/>
  <c r="J752" i="14"/>
  <c r="J760" i="14"/>
  <c r="P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J269" i="14"/>
  <c r="J279" i="14"/>
  <c r="J289" i="14"/>
  <c r="J297" i="14"/>
  <c r="J305" i="14"/>
  <c r="J313" i="14"/>
  <c r="J321" i="14"/>
  <c r="J329" i="14"/>
  <c r="P329" i="14" s="1"/>
  <c r="J337" i="14"/>
  <c r="J345" i="14"/>
  <c r="J353" i="14"/>
  <c r="J361" i="14"/>
  <c r="J369" i="14"/>
  <c r="J377" i="14"/>
  <c r="J385" i="14"/>
  <c r="J393" i="14"/>
  <c r="P393" i="14" s="1"/>
  <c r="J401" i="14"/>
  <c r="J409" i="14"/>
  <c r="J417" i="14"/>
  <c r="J425" i="14"/>
  <c r="J433" i="14"/>
  <c r="J441" i="14"/>
  <c r="J449" i="14"/>
  <c r="J457" i="14"/>
  <c r="P457" i="14" s="1"/>
  <c r="J465" i="14"/>
  <c r="J473" i="14"/>
  <c r="J481" i="14"/>
  <c r="J489" i="14"/>
  <c r="J497" i="14"/>
  <c r="J505" i="14"/>
  <c r="J513" i="14"/>
  <c r="J521" i="14"/>
  <c r="P521" i="14" s="1"/>
  <c r="J529" i="14"/>
  <c r="J537" i="14"/>
  <c r="J545" i="14"/>
  <c r="J553" i="14"/>
  <c r="J561" i="14"/>
  <c r="J569" i="14"/>
  <c r="J577" i="14"/>
  <c r="J585" i="14"/>
  <c r="P585" i="14" s="1"/>
  <c r="J593" i="14"/>
  <c r="J601" i="14"/>
  <c r="J609" i="14"/>
  <c r="J617" i="14"/>
  <c r="J625" i="14"/>
  <c r="J633" i="14"/>
  <c r="J641" i="14"/>
  <c r="J649" i="14"/>
  <c r="P649" i="14" s="1"/>
  <c r="J657" i="14"/>
  <c r="J665" i="14"/>
  <c r="J673" i="14"/>
  <c r="J681" i="14"/>
  <c r="J689" i="14"/>
  <c r="J697" i="14"/>
  <c r="J705" i="14"/>
  <c r="J713" i="14"/>
  <c r="P713" i="14" s="1"/>
  <c r="J721" i="14"/>
  <c r="J729" i="14"/>
  <c r="J737" i="14"/>
  <c r="J745" i="14"/>
  <c r="J753" i="14"/>
  <c r="J761" i="14"/>
  <c r="J769" i="14"/>
  <c r="J777" i="14"/>
  <c r="P777" i="14" s="1"/>
  <c r="J785" i="14"/>
  <c r="J793" i="14"/>
  <c r="J801" i="14"/>
  <c r="J809" i="14"/>
  <c r="J817" i="14"/>
  <c r="J825" i="14"/>
  <c r="J833" i="14"/>
  <c r="J841" i="14"/>
  <c r="P841" i="14" s="1"/>
  <c r="Q841" i="14" s="1"/>
  <c r="J849" i="14"/>
  <c r="J2504" i="16"/>
  <c r="J290" i="14"/>
  <c r="J354" i="14"/>
  <c r="J418" i="14"/>
  <c r="J482" i="14"/>
  <c r="J546" i="14"/>
  <c r="J610" i="14"/>
  <c r="P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J562" i="14"/>
  <c r="P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J506" i="14"/>
  <c r="J570" i="14"/>
  <c r="J634" i="14"/>
  <c r="J698" i="14"/>
  <c r="J762" i="14"/>
  <c r="P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J586" i="14"/>
  <c r="J650" i="14"/>
  <c r="J714" i="14"/>
  <c r="P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P564" i="14"/>
  <c r="P580" i="14"/>
  <c r="P628" i="14"/>
  <c r="P644" i="14"/>
  <c r="P692" i="14"/>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55" i="14"/>
  <c r="P663" i="14"/>
  <c r="P98" i="14"/>
  <c r="P272" i="14"/>
  <c r="P441" i="14"/>
  <c r="P626" i="14"/>
  <c r="P863" i="14"/>
  <c r="Q863" i="14" s="1"/>
  <c r="P927" i="14"/>
  <c r="Q927" i="14" s="1"/>
  <c r="P991" i="14"/>
  <c r="Q991" i="14" s="1"/>
  <c r="P1055" i="14"/>
  <c r="Q1055" i="14" s="1"/>
  <c r="P314" i="14"/>
  <c r="P337" i="14"/>
  <c r="P499" i="14"/>
  <c r="P627" i="14"/>
  <c r="P683" i="14"/>
  <c r="P694" i="14"/>
  <c r="P744" i="14"/>
  <c r="P752" i="14"/>
  <c r="P808" i="14"/>
  <c r="P880" i="14"/>
  <c r="Q880" i="14" s="1"/>
  <c r="P888" i="14"/>
  <c r="Q888" i="14" s="1"/>
  <c r="P936" i="14"/>
  <c r="Q936" i="14" s="1"/>
  <c r="P944" i="14"/>
  <c r="Q944" i="14" s="1"/>
  <c r="P952" i="14"/>
  <c r="Q952" i="14" s="1"/>
  <c r="P1000" i="14"/>
  <c r="Q1000" i="14" s="1"/>
  <c r="P1008" i="14"/>
  <c r="Q1008" i="14" s="1"/>
  <c r="P1016" i="14"/>
  <c r="Q1016" i="14" s="1"/>
  <c r="P64" i="14"/>
  <c r="P192" i="14"/>
  <c r="P233" i="14"/>
  <c r="P361" i="14"/>
  <c r="P402" i="14"/>
  <c r="P514" i="14"/>
  <c r="P539" i="14"/>
  <c r="P617" i="14"/>
  <c r="P629" i="14"/>
  <c r="P642" i="14"/>
  <c r="P705" i="14"/>
  <c r="P721" i="14"/>
  <c r="P769" i="14"/>
  <c r="P785" i="14"/>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281" i="14"/>
  <c r="P409" i="14"/>
  <c r="P432" i="14"/>
  <c r="P450" i="14"/>
  <c r="P544" i="14"/>
  <c r="P555" i="14"/>
  <c r="P645" i="14"/>
  <c r="P656" i="14"/>
  <c r="P666" i="14"/>
  <c r="P731" i="14"/>
  <c r="P739" i="14"/>
  <c r="P795" i="14"/>
  <c r="P803" i="14"/>
  <c r="P867" i="14"/>
  <c r="Q867" i="14" s="1"/>
  <c r="P915" i="14"/>
  <c r="Q915" i="14" s="1"/>
  <c r="P923" i="14"/>
  <c r="Q923" i="14" s="1"/>
  <c r="P931" i="14"/>
  <c r="Q931" i="14" s="1"/>
  <c r="P979" i="14"/>
  <c r="Q979" i="14" s="1"/>
  <c r="P995" i="14"/>
  <c r="Q995" i="14" s="1"/>
  <c r="P1043" i="14"/>
  <c r="Q1043" i="14" s="1"/>
  <c r="P1059" i="14"/>
  <c r="Q1059" i="14" s="1"/>
  <c r="P154" i="14"/>
  <c r="P282" i="14"/>
  <c r="P305" i="14"/>
  <c r="P456" i="14"/>
  <c r="P474" i="14"/>
  <c r="P493" i="14"/>
  <c r="P570" i="14"/>
  <c r="P667" i="14"/>
  <c r="P689" i="14"/>
  <c r="P740" i="14"/>
  <c r="P756" i="14"/>
  <c r="P804" i="14"/>
  <c r="P820" i="14"/>
  <c r="Q820" i="14" s="1"/>
  <c r="P876" i="14"/>
  <c r="Q876" i="14" s="1"/>
  <c r="P884" i="14"/>
  <c r="Q884" i="14" s="1"/>
  <c r="P948" i="14"/>
  <c r="Q948" i="14" s="1"/>
  <c r="P1012" i="14"/>
  <c r="Q1012" i="14" s="1"/>
  <c r="P114" i="14"/>
  <c r="P741" i="14"/>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P786" i="14"/>
  <c r="P806" i="14"/>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P702" i="14"/>
  <c r="P725" i="14"/>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P547" i="14"/>
  <c r="P618" i="14"/>
  <c r="P770" i="14"/>
  <c r="P790" i="14"/>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P802" i="14"/>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P558" i="14"/>
  <c r="P559" i="14"/>
  <c r="P560" i="14"/>
  <c r="P563" i="14"/>
  <c r="P565" i="14"/>
  <c r="P566" i="14"/>
  <c r="P567" i="14"/>
  <c r="P569" i="14"/>
  <c r="P571" i="14"/>
  <c r="P572" i="14"/>
  <c r="P574" i="14"/>
  <c r="P575" i="14"/>
  <c r="P576" i="14"/>
  <c r="P577" i="14"/>
  <c r="P578" i="14"/>
  <c r="P579" i="14"/>
  <c r="P581" i="14"/>
  <c r="P583" i="14"/>
  <c r="P584" i="14"/>
  <c r="P586" i="14"/>
  <c r="P587" i="14"/>
  <c r="P588" i="14"/>
  <c r="P589" i="14"/>
  <c r="P591" i="14"/>
  <c r="P592" i="14"/>
  <c r="P593" i="14"/>
  <c r="P594" i="14"/>
  <c r="P596" i="14"/>
  <c r="P597" i="14"/>
  <c r="P598" i="14"/>
  <c r="P600" i="14"/>
  <c r="P601" i="14"/>
  <c r="P603" i="14"/>
  <c r="P604" i="14"/>
  <c r="P605" i="14"/>
  <c r="P606" i="14"/>
  <c r="P608" i="14"/>
  <c r="P609" i="14"/>
  <c r="P611" i="14"/>
  <c r="P612" i="14"/>
  <c r="P613" i="14"/>
  <c r="P614" i="14"/>
  <c r="P615" i="14"/>
  <c r="P616" i="14"/>
  <c r="P619" i="14"/>
  <c r="P621" i="14"/>
  <c r="P622" i="14"/>
  <c r="P623" i="14"/>
  <c r="P624" i="14"/>
  <c r="P630" i="14"/>
  <c r="P631" i="14"/>
  <c r="P633" i="14"/>
  <c r="P634" i="14"/>
  <c r="P635" i="14"/>
  <c r="P636" i="14"/>
  <c r="P638" i="14"/>
  <c r="P639" i="14"/>
  <c r="P640" i="14"/>
  <c r="P641" i="14"/>
  <c r="P646" i="14"/>
  <c r="P647" i="14"/>
  <c r="P648" i="14"/>
  <c r="P650" i="14"/>
  <c r="P651" i="14"/>
  <c r="P652" i="14"/>
  <c r="P653" i="14"/>
  <c r="P657" i="14"/>
  <c r="P660" i="14"/>
  <c r="P661" i="14"/>
  <c r="P662" i="14"/>
  <c r="P664" i="14"/>
  <c r="P665" i="14"/>
  <c r="P668" i="14"/>
  <c r="P669" i="14"/>
  <c r="P670" i="14"/>
  <c r="P672" i="14"/>
  <c r="P673" i="14"/>
  <c r="P674" i="14"/>
  <c r="P675" i="14"/>
  <c r="P676" i="14"/>
  <c r="P677" i="14"/>
  <c r="P678" i="14"/>
  <c r="P679" i="14"/>
  <c r="P680" i="14"/>
  <c r="P681" i="14"/>
  <c r="P682" i="14"/>
  <c r="P685" i="14"/>
  <c r="P687" i="14"/>
  <c r="P688" i="14"/>
  <c r="P693" i="14"/>
  <c r="P695" i="14"/>
  <c r="P697" i="14"/>
  <c r="P698" i="14"/>
  <c r="P699" i="14"/>
  <c r="P700" i="14"/>
  <c r="P703" i="14"/>
  <c r="P704" i="14"/>
  <c r="P706" i="14"/>
  <c r="P707" i="14"/>
  <c r="P708" i="14"/>
  <c r="P709" i="14"/>
  <c r="P710" i="14"/>
  <c r="P711" i="14"/>
  <c r="P712" i="14"/>
  <c r="P715" i="14"/>
  <c r="P716" i="14"/>
  <c r="P717" i="14"/>
  <c r="P719" i="14"/>
  <c r="P720" i="14"/>
  <c r="P722" i="14"/>
  <c r="P724" i="14"/>
  <c r="P726" i="14"/>
  <c r="P727" i="14"/>
  <c r="P728" i="14"/>
  <c r="P729" i="14"/>
  <c r="P730" i="14"/>
  <c r="P732" i="14"/>
  <c r="P733" i="14"/>
  <c r="P734" i="14"/>
  <c r="P736" i="14"/>
  <c r="P737" i="14"/>
  <c r="P738" i="14"/>
  <c r="P742" i="14"/>
  <c r="P743" i="14"/>
  <c r="P745" i="14"/>
  <c r="P747" i="14"/>
  <c r="P749" i="14"/>
  <c r="P750" i="14"/>
  <c r="P751" i="14"/>
  <c r="P753" i="14"/>
  <c r="P755" i="14"/>
  <c r="P757" i="14"/>
  <c r="P758" i="14"/>
  <c r="P759" i="14"/>
  <c r="P761" i="14"/>
  <c r="P763" i="14"/>
  <c r="P764" i="14"/>
  <c r="P766" i="14"/>
  <c r="P767" i="14"/>
  <c r="P768" i="14"/>
  <c r="P771" i="14"/>
  <c r="P772" i="14"/>
  <c r="P773" i="14"/>
  <c r="P774" i="14"/>
  <c r="P775" i="14"/>
  <c r="P776" i="14"/>
  <c r="P778" i="14"/>
  <c r="P779" i="14"/>
  <c r="P780" i="14"/>
  <c r="P783" i="14"/>
  <c r="P784" i="14"/>
  <c r="P788" i="14"/>
  <c r="P789" i="14"/>
  <c r="P791" i="14"/>
  <c r="P792" i="14"/>
  <c r="P793" i="14"/>
  <c r="P794" i="14"/>
  <c r="P796" i="14"/>
  <c r="P798" i="14"/>
  <c r="P800" i="14"/>
  <c r="P801" i="14"/>
  <c r="P805" i="14"/>
  <c r="P807" i="14"/>
  <c r="P809" i="14"/>
  <c r="P810" i="14"/>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P226" i="14"/>
  <c r="P227" i="14"/>
  <c r="P228" i="14"/>
  <c r="P230" i="14"/>
  <c r="P231" i="14"/>
  <c r="P235" i="14"/>
  <c r="P236" i="14"/>
  <c r="P237" i="14"/>
  <c r="P238" i="14"/>
  <c r="P239" i="14"/>
  <c r="P241" i="14"/>
  <c r="P242" i="14"/>
  <c r="P243" i="14"/>
  <c r="P244" i="14"/>
  <c r="P245" i="14"/>
  <c r="P246" i="14"/>
  <c r="P247" i="14"/>
  <c r="P249" i="14"/>
  <c r="P250" i="14"/>
  <c r="P251" i="14"/>
  <c r="P252" i="14"/>
  <c r="P253" i="14"/>
  <c r="P255" i="14"/>
  <c r="P256" i="14"/>
  <c r="P257" i="14"/>
  <c r="P261" i="14"/>
  <c r="P263" i="14"/>
  <c r="P264" i="14"/>
  <c r="P266" i="14"/>
  <c r="P267" i="14"/>
  <c r="P268" i="14"/>
  <c r="P269" i="14"/>
  <c r="P273" i="14"/>
  <c r="P274" i="14"/>
  <c r="P276" i="14"/>
  <c r="P278" i="14"/>
  <c r="P280" i="14"/>
  <c r="P284" i="14"/>
  <c r="P286" i="14"/>
  <c r="P288" i="14"/>
  <c r="P290" i="14"/>
  <c r="P292" i="14"/>
  <c r="P294" i="14"/>
  <c r="P296" i="14"/>
  <c r="P297" i="14"/>
  <c r="P299" i="14"/>
  <c r="P301" i="14"/>
  <c r="P303" i="14"/>
  <c r="P307" i="14"/>
  <c r="P309" i="14"/>
  <c r="P311" i="14"/>
  <c r="P313" i="14"/>
  <c r="P315" i="14"/>
  <c r="P319" i="14"/>
  <c r="P321" i="14"/>
  <c r="P323" i="14"/>
  <c r="P325" i="14"/>
  <c r="P327" i="14"/>
  <c r="P328" i="14"/>
  <c r="P330" i="14"/>
  <c r="P332" i="14"/>
  <c r="P336" i="14"/>
  <c r="P340" i="14"/>
  <c r="P342" i="14"/>
  <c r="P344" i="14"/>
  <c r="P346" i="14"/>
  <c r="P347" i="14"/>
  <c r="P353" i="14"/>
  <c r="P355" i="14"/>
  <c r="P357" i="14"/>
  <c r="P359" i="14"/>
  <c r="P363" i="14"/>
  <c r="P365" i="14"/>
  <c r="P367" i="14"/>
  <c r="P369" i="14"/>
  <c r="P371" i="14"/>
  <c r="P373" i="14"/>
  <c r="P375" i="14"/>
  <c r="P377" i="14"/>
  <c r="P379" i="14"/>
  <c r="P382" i="14"/>
  <c r="P384" i="14"/>
  <c r="P386" i="14"/>
  <c r="P390" i="14"/>
  <c r="P392" i="14"/>
  <c r="P394" i="14"/>
  <c r="P396" i="14"/>
  <c r="P400" i="14"/>
  <c r="P404" i="14"/>
  <c r="P406" i="14"/>
  <c r="P411" i="14"/>
  <c r="P417" i="14"/>
  <c r="P419" i="14"/>
  <c r="P421" i="14"/>
  <c r="P423" i="14"/>
  <c r="P425" i="14"/>
  <c r="P427" i="14"/>
  <c r="P429" i="14"/>
  <c r="P431" i="14"/>
  <c r="P433" i="14"/>
  <c r="P436" i="14"/>
  <c r="P438" i="14"/>
  <c r="P444" i="14"/>
  <c r="P446" i="14"/>
  <c r="P448" i="14"/>
  <c r="P452" i="14"/>
  <c r="P458" i="14"/>
  <c r="P460" i="14"/>
  <c r="P464" i="14"/>
  <c r="P466" i="14"/>
  <c r="P468" i="14"/>
  <c r="P470" i="14"/>
  <c r="P476" i="14"/>
  <c r="P478" i="14"/>
  <c r="P480" i="14"/>
  <c r="P482" i="14"/>
  <c r="P484" i="14"/>
  <c r="P487" i="14"/>
  <c r="P494" i="14"/>
  <c r="P496" i="14"/>
  <c r="P498" i="14"/>
  <c r="P220" i="14"/>
  <c r="P222" i="14"/>
  <c r="P270" i="14"/>
  <c r="P277" i="14"/>
  <c r="P283" i="14"/>
  <c r="P285" i="14"/>
  <c r="P291" i="14"/>
  <c r="P293" i="14"/>
  <c r="P295" i="14"/>
  <c r="P298" i="14"/>
  <c r="P302" i="14"/>
  <c r="P304" i="14"/>
  <c r="P306" i="14"/>
  <c r="P308" i="14"/>
  <c r="P310" i="14"/>
  <c r="P316" i="14"/>
  <c r="P318" i="14"/>
  <c r="P320" i="14"/>
  <c r="P331" i="14"/>
  <c r="P333" i="14"/>
  <c r="P335" i="14"/>
  <c r="P341" i="14"/>
  <c r="P345" i="14"/>
  <c r="P348" i="14"/>
  <c r="P350" i="14"/>
  <c r="P352" i="14"/>
  <c r="P354" i="14"/>
  <c r="P356" i="14"/>
  <c r="P358" i="14"/>
  <c r="P360" i="14"/>
  <c r="P362" i="14"/>
  <c r="P366" i="14"/>
  <c r="P368" i="14"/>
  <c r="P372" i="14"/>
  <c r="P374" i="14"/>
  <c r="P378" i="14"/>
  <c r="P380" i="14"/>
  <c r="P383" i="14"/>
  <c r="P385" i="14"/>
  <c r="P387" i="14"/>
  <c r="P389" i="14"/>
  <c r="P391" i="14"/>
  <c r="P395" i="14"/>
  <c r="P397" i="14"/>
  <c r="P399" i="14"/>
  <c r="P401" i="14"/>
  <c r="P405" i="14"/>
  <c r="P408" i="14"/>
  <c r="P410" i="14"/>
  <c r="P412" i="14"/>
  <c r="P414" i="14"/>
  <c r="P416" i="14"/>
  <c r="P418" i="14"/>
  <c r="P420" i="14"/>
  <c r="P422" i="14"/>
  <c r="P424" i="14"/>
  <c r="P430" i="14"/>
  <c r="P435" i="14"/>
  <c r="P437" i="14"/>
  <c r="P439" i="14"/>
  <c r="P443" i="14"/>
  <c r="P447" i="14"/>
  <c r="P449" i="14"/>
  <c r="P451" i="14"/>
  <c r="P453" i="14"/>
  <c r="P455" i="14"/>
  <c r="P459" i="14"/>
  <c r="P461" i="14"/>
  <c r="P463" i="14"/>
  <c r="P465" i="14"/>
  <c r="P469" i="14"/>
  <c r="P473" i="14"/>
  <c r="P475" i="14"/>
  <c r="P481" i="14"/>
  <c r="P483" i="14"/>
  <c r="P485" i="14"/>
  <c r="P486" i="14"/>
  <c r="P488" i="14"/>
  <c r="P489" i="14"/>
  <c r="P491" i="14"/>
  <c r="P495" i="14"/>
  <c r="P497" i="14"/>
  <c r="P500" i="14"/>
  <c r="P503" i="14"/>
  <c r="P505" i="14"/>
  <c r="P507" i="14"/>
  <c r="P511" i="14"/>
  <c r="P513" i="14"/>
  <c r="P515" i="14"/>
  <c r="P517" i="14"/>
  <c r="P519" i="14"/>
  <c r="P523" i="14"/>
  <c r="P524" i="14"/>
  <c r="P528" i="14"/>
  <c r="P530" i="14"/>
  <c r="P532" i="14"/>
  <c r="P533" i="14"/>
  <c r="P537" i="14"/>
  <c r="P541" i="14"/>
  <c r="P545" i="14"/>
  <c r="P548" i="14"/>
  <c r="P550" i="14"/>
  <c r="P551" i="14"/>
  <c r="P553" i="14"/>
  <c r="P501" i="14"/>
  <c r="P502" i="14"/>
  <c r="P506" i="14"/>
  <c r="P508" i="14"/>
  <c r="P510" i="14"/>
  <c r="P512" i="14"/>
  <c r="P518" i="14"/>
  <c r="P520" i="14"/>
  <c r="P525" i="14"/>
  <c r="P527" i="14"/>
  <c r="P529" i="14"/>
  <c r="P534" i="14"/>
  <c r="P536" i="14"/>
  <c r="P538" i="14"/>
  <c r="P540" i="14"/>
  <c r="P542" i="14"/>
  <c r="P546" i="14"/>
  <c r="P549" i="14"/>
  <c r="P552" i="14"/>
  <c r="P554" i="14"/>
  <c r="Q37" i="20"/>
  <c r="B34" i="20"/>
  <c r="P156" i="14"/>
  <c r="P148" i="14"/>
  <c r="P140" i="14"/>
  <c r="P124" i="14"/>
  <c r="P320" i="16"/>
  <c r="P312" i="16"/>
  <c r="P304" i="16"/>
  <c r="P296" i="16"/>
  <c r="P288" i="16"/>
  <c r="P213" i="14"/>
  <c r="P209" i="14"/>
  <c r="P205" i="14"/>
  <c r="P203" i="14"/>
  <c r="P201" i="14"/>
  <c r="P199" i="14"/>
  <c r="P197" i="14"/>
  <c r="P191" i="14"/>
  <c r="P189" i="14"/>
  <c r="P187" i="14"/>
  <c r="P185" i="14"/>
  <c r="P183" i="14"/>
  <c r="P181" i="14"/>
  <c r="P179"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80" i="14"/>
  <c r="P176"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1" i="16"/>
  <c r="P160" i="14"/>
  <c r="P303" i="16"/>
  <c r="P300" i="16"/>
  <c r="P290" i="16"/>
  <c r="P159" i="14"/>
  <c r="P146"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71"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1019" i="16" a="1"/>
  <c r="Q1019" i="16" s="1"/>
  <c r="Q1016" i="16" a="1"/>
  <c r="Q1016" i="16" s="1"/>
  <c r="Q1021" i="16" a="1"/>
  <c r="Q1021" i="16" s="1"/>
  <c r="Q1018" i="16" a="1"/>
  <c r="Q1018" i="16" s="1"/>
  <c r="Q1039" i="16" a="1"/>
  <c r="Q1039" i="16" s="1"/>
  <c r="Q1012" i="16" a="1"/>
  <c r="Q1012" i="16" s="1"/>
  <c r="Q1049" i="16" a="1"/>
  <c r="Q1049"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1011" i="16" a="1"/>
  <c r="Q1011" i="16" s="1"/>
  <c r="Q1008" i="16" a="1"/>
  <c r="Q1008" i="16" s="1"/>
  <c r="Q1013" i="16" a="1"/>
  <c r="Q1013" i="16" s="1"/>
  <c r="Q1010" i="16" a="1"/>
  <c r="Q1010" i="16" s="1"/>
  <c r="Q1031" i="16" a="1"/>
  <c r="Q1031" i="16" s="1"/>
  <c r="Q1004" i="16" a="1"/>
  <c r="Q1004" i="16" s="1"/>
  <c r="Q1041" i="16" a="1"/>
  <c r="Q1041"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1067" i="16" a="1"/>
  <c r="Q1067" i="16" s="1"/>
  <c r="Q1003" i="16" a="1"/>
  <c r="Q1003" i="16" s="1"/>
  <c r="Q1000" i="16" a="1"/>
  <c r="Q1000" i="16" s="1"/>
  <c r="Q1069" i="16" a="1"/>
  <c r="Q1069" i="16" s="1"/>
  <c r="Q1005" i="16" a="1"/>
  <c r="Q1005" i="16" s="1"/>
  <c r="Q1002" i="16" a="1"/>
  <c r="Q1002" i="16" s="1"/>
  <c r="Q1023" i="16" a="1"/>
  <c r="Q1023" i="16" s="1"/>
  <c r="Q996" i="16" a="1"/>
  <c r="Q996" i="16" s="1"/>
  <c r="Q1033" i="16" a="1"/>
  <c r="Q1033"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1059" i="16" a="1"/>
  <c r="Q1059" i="16" s="1"/>
  <c r="Q995" i="16" a="1"/>
  <c r="Q995" i="16" s="1"/>
  <c r="Q992" i="16" a="1"/>
  <c r="Q992" i="16" s="1"/>
  <c r="Q1061" i="16" a="1"/>
  <c r="Q1061" i="16" s="1"/>
  <c r="Q997" i="16" a="1"/>
  <c r="Q997" i="16" s="1"/>
  <c r="Q994" i="16" a="1"/>
  <c r="Q994" i="16" s="1"/>
  <c r="Q1015" i="16" a="1"/>
  <c r="Q1015" i="16" s="1"/>
  <c r="Q1025" i="16" a="1"/>
  <c r="Q1025"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1051" i="16" a="1"/>
  <c r="Q1051" i="16" s="1"/>
  <c r="Q1053" i="16" a="1"/>
  <c r="Q1053" i="16" s="1"/>
  <c r="Q989" i="16" a="1"/>
  <c r="Q989" i="16" s="1"/>
  <c r="Q1071" i="16" a="1"/>
  <c r="Q1071" i="16" s="1"/>
  <c r="Q1007" i="16" a="1"/>
  <c r="Q1007" i="16" s="1"/>
  <c r="Q1017" i="16" a="1"/>
  <c r="Q1017"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1043" i="16" a="1"/>
  <c r="Q1043" i="16" s="1"/>
  <c r="Q1045" i="16" a="1"/>
  <c r="Q1045" i="16" s="1"/>
  <c r="Q1063" i="16" a="1"/>
  <c r="Q1063" i="16" s="1"/>
  <c r="Q999" i="16" a="1"/>
  <c r="Q999" i="16" s="1"/>
  <c r="Q1009" i="16" a="1"/>
  <c r="Q1009"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1035" i="16" a="1"/>
  <c r="Q1035" i="16" s="1"/>
  <c r="Q1037" i="16" a="1"/>
  <c r="Q1037" i="16" s="1"/>
  <c r="Q1055" i="16" a="1"/>
  <c r="Q1055" i="16" s="1"/>
  <c r="Q991" i="16" a="1"/>
  <c r="Q991" i="16" s="1"/>
  <c r="Q1065" i="16" a="1"/>
  <c r="Q1065" i="16" s="1"/>
  <c r="Q1001" i="16" a="1"/>
  <c r="Q1001"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1027" i="16" a="1"/>
  <c r="Q1027" i="16" s="1"/>
  <c r="Q1029" i="16" a="1"/>
  <c r="Q1029" i="16" s="1"/>
  <c r="Q1026" i="16" a="1"/>
  <c r="Q1026" i="16" s="1"/>
  <c r="Q1047" i="16" a="1"/>
  <c r="Q1047" i="16" s="1"/>
  <c r="Q1057" i="16" a="1"/>
  <c r="Q1057" i="16" s="1"/>
  <c r="Q993" i="16" a="1"/>
  <c r="Q993"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l="1"/>
  <c r="C65" i="20" s="1"/>
  <c r="Q23" i="17" a="1"/>
  <c r="Q23" i="17" s="1"/>
  <c r="Q22" i="17" a="1"/>
  <c r="Q22" i="17" s="1"/>
  <c r="P472" i="16"/>
  <c r="P1247" i="14"/>
  <c r="Q1247" i="14" s="1"/>
  <c r="P563" i="16"/>
  <c r="G66" i="20"/>
  <c r="F66" i="20"/>
  <c r="C64" i="20"/>
  <c r="O65" i="20"/>
  <c r="G65" i="20"/>
  <c r="F65" i="20"/>
  <c r="O66" i="20"/>
  <c r="H67" i="20"/>
  <c r="G67" i="20"/>
  <c r="U67" i="20"/>
  <c r="R67" i="20"/>
  <c r="C68" i="20"/>
  <c r="F67" i="20"/>
  <c r="O67" i="20"/>
  <c r="Q977" i="16" l="1" a="1"/>
  <c r="Q977" i="16" s="1"/>
  <c r="Q979" i="16" a="1"/>
  <c r="Q979" i="16" s="1"/>
  <c r="Q973" i="16" a="1"/>
  <c r="Q973" i="16" s="1"/>
  <c r="Q983" i="16" a="1"/>
  <c r="Q983" i="16" s="1"/>
  <c r="Q955" i="16" a="1"/>
  <c r="Q955" i="16" s="1"/>
  <c r="Q969" i="16" a="1"/>
  <c r="Q969" i="16" s="1"/>
  <c r="Q974" i="16" a="1"/>
  <c r="Q974" i="16" s="1"/>
  <c r="Q951" i="16" a="1"/>
  <c r="Q951" i="16" s="1"/>
  <c r="Q958" i="16" a="1"/>
  <c r="Q958" i="16" s="1"/>
  <c r="Q968" i="16" a="1"/>
  <c r="Q968" i="16" s="1"/>
  <c r="Q975" i="16" a="1"/>
  <c r="Q975" i="16" s="1"/>
  <c r="Q984" i="16" a="1"/>
  <c r="Q984" i="16" s="1"/>
  <c r="Q980" i="16" a="1"/>
  <c r="Q980" i="16" s="1"/>
  <c r="Q953" i="16" a="1"/>
  <c r="Q953" i="16" s="1"/>
  <c r="Q978" i="16" a="1"/>
  <c r="Q978" i="16" s="1"/>
  <c r="Q964" i="16" a="1"/>
  <c r="Q964" i="16" s="1"/>
  <c r="Q962" i="16" a="1"/>
  <c r="Q962" i="16" s="1"/>
  <c r="Q967" i="16" a="1"/>
  <c r="Q967" i="16" s="1"/>
  <c r="Q971" i="16" a="1"/>
  <c r="Q971" i="16" s="1"/>
  <c r="Q954" i="16" a="1"/>
  <c r="Q954" i="16" s="1"/>
  <c r="Q981" i="16" a="1"/>
  <c r="Q981" i="16" s="1"/>
  <c r="Q957" i="16" a="1"/>
  <c r="Q957" i="16" s="1"/>
  <c r="Q961" i="16" a="1"/>
  <c r="Q961" i="16" s="1"/>
  <c r="Q966" i="16" a="1"/>
  <c r="Q966" i="16" s="1"/>
  <c r="Q976" i="16" a="1"/>
  <c r="Q976" i="16" s="1"/>
  <c r="Q972" i="16" a="1"/>
  <c r="Q972" i="16" s="1"/>
  <c r="Q985" i="16" a="1"/>
  <c r="Q985" i="16" s="1"/>
  <c r="Q982" i="16" a="1"/>
  <c r="Q982" i="16" s="1"/>
  <c r="Q959" i="16" a="1"/>
  <c r="Q959" i="16" s="1"/>
  <c r="Q970" i="16" a="1"/>
  <c r="Q970" i="16" s="1"/>
  <c r="Q960" i="16" a="1"/>
  <c r="Q960" i="16" s="1"/>
  <c r="Q956" i="16" a="1"/>
  <c r="Q956" i="16" s="1"/>
  <c r="Q963" i="16" a="1"/>
  <c r="Q963" i="16" s="1"/>
  <c r="Q965" i="16" a="1"/>
  <c r="Q965" i="16" s="1"/>
  <c r="Q952" i="16" a="1"/>
  <c r="Q952" i="16" s="1"/>
  <c r="Q987" i="16" a="1"/>
  <c r="Q987" i="16" s="1"/>
  <c r="Q988" i="16" a="1"/>
  <c r="Q988" i="16" s="1"/>
  <c r="Q986" i="16" a="1"/>
  <c r="Q986" i="16" s="1"/>
  <c r="P473" i="16"/>
  <c r="P1248" i="14"/>
  <c r="Q1248" i="14" s="1"/>
  <c r="P564" i="16"/>
  <c r="C63" i="20"/>
  <c r="O64" i="20"/>
  <c r="G64" i="20"/>
  <c r="F64" i="20"/>
  <c r="H68" i="20"/>
  <c r="O68" i="20"/>
  <c r="U68" i="20"/>
  <c r="F68" i="20"/>
  <c r="G68" i="20"/>
  <c r="R68" i="20"/>
  <c r="C69" i="20"/>
  <c r="Q24" i="17" s="1" a="1"/>
  <c r="Q24" i="17" s="1"/>
  <c r="Q922" i="16" l="1" a="1"/>
  <c r="Q922" i="16" s="1"/>
  <c r="Q941" i="16" a="1"/>
  <c r="Q941" i="16" s="1"/>
  <c r="Q930" i="16" a="1"/>
  <c r="Q930" i="16" s="1"/>
  <c r="Q895" i="16" a="1"/>
  <c r="Q895" i="16" s="1"/>
  <c r="Q907" i="16" a="1"/>
  <c r="Q907" i="16" s="1"/>
  <c r="Q893" i="16" a="1"/>
  <c r="Q893" i="16" s="1"/>
  <c r="Q934" i="16" a="1"/>
  <c r="Q934" i="16" s="1"/>
  <c r="Q894" i="16" a="1"/>
  <c r="Q894" i="16" s="1"/>
  <c r="Q914" i="16" a="1"/>
  <c r="Q914" i="16" s="1"/>
  <c r="Q944" i="16" a="1"/>
  <c r="Q944" i="16" s="1"/>
  <c r="Q931" i="16" a="1"/>
  <c r="Q931" i="16" s="1"/>
  <c r="Q924" i="16" a="1"/>
  <c r="Q924" i="16" s="1"/>
  <c r="Q943" i="16" a="1"/>
  <c r="Q943" i="16" s="1"/>
  <c r="Q937" i="16" a="1"/>
  <c r="Q937" i="16" s="1"/>
  <c r="Q928" i="16" a="1"/>
  <c r="Q928" i="16" s="1"/>
  <c r="Q918" i="16" a="1"/>
  <c r="Q918" i="16" s="1"/>
  <c r="Q932" i="16" a="1"/>
  <c r="Q932" i="16" s="1"/>
  <c r="Q908" i="16" a="1"/>
  <c r="Q908" i="16" s="1"/>
  <c r="Q912" i="16" a="1"/>
  <c r="Q912" i="16" s="1"/>
  <c r="Q947" i="16" a="1"/>
  <c r="Q947" i="16" s="1"/>
  <c r="Q921" i="16" a="1"/>
  <c r="Q921" i="16" s="1"/>
  <c r="Q906" i="16" a="1"/>
  <c r="Q906" i="16" s="1"/>
  <c r="Q936" i="16" a="1"/>
  <c r="Q936" i="16" s="1"/>
  <c r="Q905" i="16" a="1"/>
  <c r="Q905" i="16" s="1"/>
  <c r="Q925" i="16" a="1"/>
  <c r="Q925" i="16" s="1"/>
  <c r="Q887" i="16" a="1"/>
  <c r="Q887" i="16" s="1"/>
  <c r="Q889" i="16" a="1"/>
  <c r="Q889" i="16" s="1"/>
  <c r="Q927" i="16" a="1"/>
  <c r="Q927" i="16" s="1"/>
  <c r="Q900" i="16" a="1"/>
  <c r="Q900" i="16" s="1"/>
  <c r="Q904" i="16" a="1"/>
  <c r="Q904" i="16" s="1"/>
  <c r="Q938" i="16" a="1"/>
  <c r="Q938" i="16" s="1"/>
  <c r="Q903" i="16" a="1"/>
  <c r="Q903" i="16" s="1"/>
  <c r="Q890" i="16" a="1"/>
  <c r="Q890" i="16" s="1"/>
  <c r="Q915" i="16" a="1"/>
  <c r="Q915" i="16" s="1"/>
  <c r="Q919" i="16" a="1"/>
  <c r="Q919" i="16" s="1"/>
  <c r="Q892" i="16" a="1"/>
  <c r="Q892" i="16" s="1"/>
  <c r="Q942" i="16" a="1"/>
  <c r="Q942" i="16" s="1"/>
  <c r="Q939" i="16" a="1"/>
  <c r="Q939" i="16" s="1"/>
  <c r="Q929" i="16" a="1"/>
  <c r="Q929" i="16" s="1"/>
  <c r="Q933" i="16" a="1"/>
  <c r="Q933" i="16" s="1"/>
  <c r="Q926" i="16" a="1"/>
  <c r="Q926" i="16" s="1"/>
  <c r="Q950" i="16" a="1"/>
  <c r="Q950" i="16" s="1"/>
  <c r="Q891" i="16" a="1"/>
  <c r="Q891" i="16" s="1"/>
  <c r="Q946" i="16" a="1"/>
  <c r="Q946" i="16" s="1"/>
  <c r="Q896" i="16" a="1"/>
  <c r="Q896" i="16" s="1"/>
  <c r="Q945" i="16" a="1"/>
  <c r="Q945" i="16" s="1"/>
  <c r="Q916" i="16" a="1"/>
  <c r="Q916" i="16" s="1"/>
  <c r="Q910" i="16" a="1"/>
  <c r="Q910" i="16" s="1"/>
  <c r="Q911" i="16" a="1"/>
  <c r="Q911" i="16" s="1"/>
  <c r="Q913" i="16" a="1"/>
  <c r="Q913" i="16" s="1"/>
  <c r="Q902" i="16" a="1"/>
  <c r="Q902" i="16" s="1"/>
  <c r="Q888" i="16" a="1"/>
  <c r="Q888" i="16" s="1"/>
  <c r="Q949" i="16" a="1"/>
  <c r="Q949" i="16" s="1"/>
  <c r="Q920" i="16" a="1"/>
  <c r="Q920" i="16" s="1"/>
  <c r="Q940" i="16" a="1"/>
  <c r="Q940" i="16" s="1"/>
  <c r="Q899" i="16" a="1"/>
  <c r="Q899" i="16" s="1"/>
  <c r="Q901" i="16" a="1"/>
  <c r="Q901" i="16" s="1"/>
  <c r="Q948" i="16" a="1"/>
  <c r="Q948" i="16" s="1"/>
  <c r="Q917" i="16" a="1"/>
  <c r="Q917" i="16" s="1"/>
  <c r="Q923" i="16" a="1"/>
  <c r="Q923" i="16" s="1"/>
  <c r="Q898" i="16" a="1"/>
  <c r="Q898" i="16" s="1"/>
  <c r="Q909" i="16" a="1"/>
  <c r="Q909" i="16" s="1"/>
  <c r="Q935" i="16" a="1"/>
  <c r="Q935" i="16" s="1"/>
  <c r="Q897" i="16" a="1"/>
  <c r="Q897" i="16" s="1"/>
  <c r="P474" i="16"/>
  <c r="P1249" i="14"/>
  <c r="Q1249" i="14" s="1"/>
  <c r="P565" i="16"/>
  <c r="F63" i="20"/>
  <c r="C62" i="20"/>
  <c r="O63" i="20"/>
  <c r="G63" i="20"/>
  <c r="H69" i="20"/>
  <c r="R69" i="20"/>
  <c r="C70" i="20"/>
  <c r="O69" i="20"/>
  <c r="U69" i="20"/>
  <c r="F69" i="20"/>
  <c r="G69" i="20"/>
  <c r="Q850" i="16" l="1" a="1"/>
  <c r="Q850" i="16" s="1"/>
  <c r="Q873" i="16" a="1"/>
  <c r="Q873" i="16" s="1"/>
  <c r="Q874" i="16" a="1"/>
  <c r="Q874" i="16" s="1"/>
  <c r="Q869" i="16" a="1"/>
  <c r="Q869" i="16" s="1"/>
  <c r="Q876" i="16" a="1"/>
  <c r="Q876" i="16" s="1"/>
  <c r="Q864" i="16" a="1"/>
  <c r="Q864" i="16" s="1"/>
  <c r="Q848" i="16" a="1"/>
  <c r="Q848" i="16" s="1"/>
  <c r="Q861" i="16" a="1"/>
  <c r="Q861" i="16" s="1"/>
  <c r="Q878" i="16" a="1"/>
  <c r="Q878" i="16" s="1"/>
  <c r="Q852" i="16" a="1"/>
  <c r="Q852" i="16" s="1"/>
  <c r="Q862" i="16" a="1"/>
  <c r="Q862" i="16" s="1"/>
  <c r="Q886" i="16" a="1"/>
  <c r="Q886" i="16" s="1"/>
  <c r="Q879" i="16" a="1"/>
  <c r="Q879" i="16" s="1"/>
  <c r="Q880" i="16" a="1"/>
  <c r="Q880" i="16" s="1"/>
  <c r="Q865" i="16" a="1"/>
  <c r="Q865" i="16" s="1"/>
  <c r="Q863" i="16" a="1"/>
  <c r="Q863" i="16" s="1"/>
  <c r="Q867" i="16" a="1"/>
  <c r="Q867" i="16" s="1"/>
  <c r="Q849" i="16" a="1"/>
  <c r="Q849" i="16" s="1"/>
  <c r="Q868" i="16" a="1"/>
  <c r="Q868" i="16" s="1"/>
  <c r="Q885" i="16" a="1"/>
  <c r="Q885" i="16" s="1"/>
  <c r="Q853" i="16" a="1"/>
  <c r="Q853" i="16" s="1"/>
  <c r="Q877" i="16" a="1"/>
  <c r="Q877" i="16" s="1"/>
  <c r="Q866" i="16" a="1"/>
  <c r="Q866" i="16" s="1"/>
  <c r="Q860" i="16" a="1"/>
  <c r="Q860" i="16" s="1"/>
  <c r="Q856" i="16" a="1"/>
  <c r="Q856" i="16" s="1"/>
  <c r="Q854" i="16" a="1"/>
  <c r="Q854" i="16" s="1"/>
  <c r="Q858" i="16" a="1"/>
  <c r="Q858" i="16" s="1"/>
  <c r="Q872" i="16" a="1"/>
  <c r="Q872" i="16" s="1"/>
  <c r="Q870" i="16" a="1"/>
  <c r="Q870" i="16" s="1"/>
  <c r="Q847" i="16" a="1"/>
  <c r="Q847" i="16" s="1"/>
  <c r="Q875" i="16" a="1"/>
  <c r="Q875" i="16" s="1"/>
  <c r="Q857" i="16" a="1"/>
  <c r="Q857" i="16" s="1"/>
  <c r="Q881" i="16" a="1"/>
  <c r="Q881" i="16" s="1"/>
  <c r="Q855" i="16" a="1"/>
  <c r="Q855" i="16" s="1"/>
  <c r="Q883" i="16" a="1"/>
  <c r="Q883" i="16" s="1"/>
  <c r="Q884" i="16" a="1"/>
  <c r="Q884" i="16" s="1"/>
  <c r="Q871" i="16" a="1"/>
  <c r="Q871" i="16" s="1"/>
  <c r="Q859" i="16" a="1"/>
  <c r="Q859" i="16" s="1"/>
  <c r="Q882" i="16" a="1"/>
  <c r="Q882" i="16" s="1"/>
  <c r="Q851" i="16" a="1"/>
  <c r="Q851" i="16" s="1"/>
  <c r="P475" i="16"/>
  <c r="P1250" i="14"/>
  <c r="Q1250" i="14" s="1"/>
  <c r="P566" i="16"/>
  <c r="G62" i="20"/>
  <c r="F62" i="20"/>
  <c r="C61" i="20"/>
  <c r="H70" i="20"/>
  <c r="C71" i="20"/>
  <c r="U70" i="20"/>
  <c r="G70" i="20"/>
  <c r="R70" i="20"/>
  <c r="O70" i="20"/>
  <c r="F70" i="20"/>
  <c r="Q830" i="16" l="1" a="1"/>
  <c r="Q830" i="16" s="1"/>
  <c r="Q806" i="16" a="1"/>
  <c r="Q806" i="16" s="1"/>
  <c r="Q841" i="16" a="1"/>
  <c r="Q841" i="16" s="1"/>
  <c r="Q833" i="16" a="1"/>
  <c r="Q833" i="16" s="1"/>
  <c r="Q823" i="16" a="1"/>
  <c r="Q823" i="16" s="1"/>
  <c r="Q827" i="16" a="1"/>
  <c r="Q827" i="16" s="1"/>
  <c r="Q809" i="16" a="1"/>
  <c r="Q809" i="16" s="1"/>
  <c r="Q826" i="16" a="1"/>
  <c r="Q826" i="16" s="1"/>
  <c r="Q807" i="16" a="1"/>
  <c r="Q807" i="16" s="1"/>
  <c r="Q811" i="16" a="1"/>
  <c r="Q811" i="16" s="1"/>
  <c r="Q836" i="16" a="1"/>
  <c r="Q836" i="16" s="1"/>
  <c r="Q810" i="16" a="1"/>
  <c r="Q810" i="16" s="1"/>
  <c r="Q822" i="16" a="1"/>
  <c r="Q822" i="16" s="1"/>
  <c r="Q842" i="16" a="1"/>
  <c r="Q842" i="16" s="1"/>
  <c r="Q837" i="16" a="1"/>
  <c r="Q837" i="16" s="1"/>
  <c r="Q821" i="16" a="1"/>
  <c r="Q821" i="16" s="1"/>
  <c r="Q846" i="16" a="1"/>
  <c r="Q846" i="16" s="1"/>
  <c r="Q824" i="16" a="1"/>
  <c r="Q824" i="16" s="1"/>
  <c r="Q825" i="16" a="1"/>
  <c r="Q825" i="16" s="1"/>
  <c r="Q812" i="16" a="1"/>
  <c r="Q812" i="16" s="1"/>
  <c r="Q814" i="16" a="1"/>
  <c r="Q814" i="16" s="1"/>
  <c r="Q839" i="16" a="1"/>
  <c r="Q839" i="16" s="1"/>
  <c r="Q843" i="16" a="1"/>
  <c r="Q843" i="16" s="1"/>
  <c r="Q816" i="16" a="1"/>
  <c r="Q816" i="16" s="1"/>
  <c r="Q817" i="16" a="1"/>
  <c r="Q817" i="16" s="1"/>
  <c r="Q834" i="16" a="1"/>
  <c r="Q834" i="16" s="1"/>
  <c r="Q815" i="16" a="1"/>
  <c r="Q815" i="16" s="1"/>
  <c r="Q819" i="16" a="1"/>
  <c r="Q819" i="16" s="1"/>
  <c r="Q844" i="16" a="1"/>
  <c r="Q844" i="16" s="1"/>
  <c r="Q818" i="16" a="1"/>
  <c r="Q818" i="16" s="1"/>
  <c r="Q845" i="16" a="1"/>
  <c r="Q845" i="16" s="1"/>
  <c r="Q829" i="16" a="1"/>
  <c r="Q829" i="16" s="1"/>
  <c r="Q840" i="16" a="1"/>
  <c r="Q840" i="16" s="1"/>
  <c r="Q813" i="16" a="1"/>
  <c r="Q813" i="16" s="1"/>
  <c r="Q838" i="16" a="1"/>
  <c r="Q838" i="16" s="1"/>
  <c r="Q835" i="16" a="1"/>
  <c r="Q835" i="16" s="1"/>
  <c r="Q831" i="16" a="1"/>
  <c r="Q831" i="16" s="1"/>
  <c r="Q808" i="16" a="1"/>
  <c r="Q808" i="16" s="1"/>
  <c r="Q820" i="16" a="1"/>
  <c r="Q820" i="16" s="1"/>
  <c r="Q832" i="16" a="1"/>
  <c r="Q832" i="16" s="1"/>
  <c r="Q828" i="16" a="1"/>
  <c r="Q828" i="16" s="1"/>
  <c r="P476" i="16"/>
  <c r="P1251" i="14"/>
  <c r="Q1251" i="14" s="1"/>
  <c r="P567" i="16"/>
  <c r="F61" i="20"/>
  <c r="C60" i="20"/>
  <c r="G61" i="20"/>
  <c r="H71" i="20"/>
  <c r="R71" i="20"/>
  <c r="F71" i="20"/>
  <c r="C72" i="20"/>
  <c r="Q25" i="17" s="1" a="1"/>
  <c r="Q25" i="17" s="1"/>
  <c r="Q29" i="17" s="1"/>
  <c r="U71" i="20"/>
  <c r="G71" i="20"/>
  <c r="O71" i="20"/>
  <c r="Q781" i="16" l="1" a="1"/>
  <c r="Q781" i="16" s="1"/>
  <c r="Q768" i="16" a="1"/>
  <c r="Q768" i="16" s="1"/>
  <c r="Q769" i="16" a="1"/>
  <c r="Q769" i="16" s="1"/>
  <c r="Q786" i="16" a="1"/>
  <c r="Q786" i="16" s="1"/>
  <c r="Q771" i="16" a="1"/>
  <c r="Q771" i="16" s="1"/>
  <c r="Q793" i="16" a="1"/>
  <c r="Q793" i="16" s="1"/>
  <c r="Q791" i="16" a="1"/>
  <c r="Q791" i="16" s="1"/>
  <c r="Q770" i="16" a="1"/>
  <c r="Q770" i="16" s="1"/>
  <c r="Q805" i="16" a="1"/>
  <c r="Q805" i="16" s="1"/>
  <c r="Q778" i="16" a="1"/>
  <c r="Q778" i="16" s="1"/>
  <c r="Q788" i="16" a="1"/>
  <c r="Q788" i="16" s="1"/>
  <c r="Q800" i="16" a="1"/>
  <c r="Q800" i="16" s="1"/>
  <c r="Q784" i="16" a="1"/>
  <c r="Q784" i="16" s="1"/>
  <c r="Q767" i="16" a="1"/>
  <c r="Q767" i="16" s="1"/>
  <c r="Q797" i="16" a="1"/>
  <c r="Q797" i="16" s="1"/>
  <c r="Q773" i="16" a="1"/>
  <c r="Q773" i="16" s="1"/>
  <c r="Q798" i="16" a="1"/>
  <c r="Q798" i="16" s="1"/>
  <c r="Q772" i="16" a="1"/>
  <c r="Q772" i="16" s="1"/>
  <c r="Q766" i="16" a="1"/>
  <c r="Q766" i="16" s="1"/>
  <c r="Q804" i="16" a="1"/>
  <c r="Q804" i="16" s="1"/>
  <c r="Q801" i="16" a="1"/>
  <c r="Q801" i="16" s="1"/>
  <c r="Q803" i="16" a="1"/>
  <c r="Q803" i="16" s="1"/>
  <c r="Q789" i="16" a="1"/>
  <c r="Q789" i="16" s="1"/>
  <c r="Q799" i="16" a="1"/>
  <c r="Q799" i="16" s="1"/>
  <c r="Q796" i="16" a="1"/>
  <c r="Q796" i="16" s="1"/>
  <c r="Q785" i="16" a="1"/>
  <c r="Q785" i="16" s="1"/>
  <c r="Q775" i="16" a="1"/>
  <c r="Q775" i="16" s="1"/>
  <c r="Q782" i="16" a="1"/>
  <c r="Q782" i="16" s="1"/>
  <c r="Q787" i="16" a="1"/>
  <c r="Q787" i="16" s="1"/>
  <c r="Q776" i="16" a="1"/>
  <c r="Q776" i="16" s="1"/>
  <c r="Q783" i="16" a="1"/>
  <c r="Q783" i="16" s="1"/>
  <c r="Q792" i="16" a="1"/>
  <c r="Q792" i="16" s="1"/>
  <c r="Q802" i="16" a="1"/>
  <c r="Q802" i="16" s="1"/>
  <c r="Q777" i="16" a="1"/>
  <c r="Q777" i="16" s="1"/>
  <c r="Q790" i="16" a="1"/>
  <c r="Q790" i="16" s="1"/>
  <c r="Q779" i="16" a="1"/>
  <c r="Q779" i="16" s="1"/>
  <c r="Q780" i="16" a="1"/>
  <c r="Q780" i="16" s="1"/>
  <c r="Q774" i="16" a="1"/>
  <c r="Q774" i="16" s="1"/>
  <c r="Q795" i="16" a="1"/>
  <c r="Q795" i="16" s="1"/>
  <c r="Q794" i="16" a="1"/>
  <c r="Q794" i="16" s="1"/>
  <c r="P477" i="16"/>
  <c r="P1252" i="14"/>
  <c r="Q1252" i="14" s="1"/>
  <c r="P568" i="16"/>
  <c r="F60" i="20"/>
  <c r="C59" i="20"/>
  <c r="G60" i="20"/>
  <c r="H72" i="20"/>
  <c r="O72" i="20"/>
  <c r="U72" i="20"/>
  <c r="R72" i="20"/>
  <c r="G72" i="20"/>
  <c r="F72" i="20"/>
  <c r="C73" i="20"/>
  <c r="Q750" i="16" l="1" a="1"/>
  <c r="Q750" i="16" s="1"/>
  <c r="Q751" i="16" a="1"/>
  <c r="Q751" i="16" s="1"/>
  <c r="Q735" i="16" a="1"/>
  <c r="Q735" i="16" s="1"/>
  <c r="Q762" i="16" a="1"/>
  <c r="Q762" i="16" s="1"/>
  <c r="Q719" i="16" a="1"/>
  <c r="Q719" i="16" s="1"/>
  <c r="Q728" i="16" a="1"/>
  <c r="Q728" i="16" s="1"/>
  <c r="Q717" i="16" a="1"/>
  <c r="Q717" i="16" s="1"/>
  <c r="Q730" i="16" a="1"/>
  <c r="Q730" i="16" s="1"/>
  <c r="Q715" i="16" a="1"/>
  <c r="Q715" i="16" s="1"/>
  <c r="Q748" i="16" a="1"/>
  <c r="Q748" i="16" s="1"/>
  <c r="Q732" i="16" a="1"/>
  <c r="Q732" i="16" s="1"/>
  <c r="Q713" i="16" a="1"/>
  <c r="Q713" i="16" s="1"/>
  <c r="Q742" i="16" a="1"/>
  <c r="Q742" i="16" s="1"/>
  <c r="Q714" i="16" a="1"/>
  <c r="Q714" i="16" s="1"/>
  <c r="Q726" i="16" a="1"/>
  <c r="Q726" i="16" s="1"/>
  <c r="Q710" i="16" a="1"/>
  <c r="Q710" i="16" s="1"/>
  <c r="Q720" i="16" a="1"/>
  <c r="Q720" i="16" s="1"/>
  <c r="Q709" i="16" a="1"/>
  <c r="Q709" i="16" s="1"/>
  <c r="Q764" i="16" a="1"/>
  <c r="Q764" i="16" s="1"/>
  <c r="Q765" i="16" a="1"/>
  <c r="Q765" i="16" s="1"/>
  <c r="Q761" i="16" a="1"/>
  <c r="Q761" i="16" s="1"/>
  <c r="Q749" i="16" a="1"/>
  <c r="Q749" i="16" s="1"/>
  <c r="Q745" i="16" a="1"/>
  <c r="Q745" i="16" s="1"/>
  <c r="Q755" i="16" a="1"/>
  <c r="Q755" i="16" s="1"/>
  <c r="Q744" i="16" a="1"/>
  <c r="Q744" i="16" s="1"/>
  <c r="Q733" i="16" a="1"/>
  <c r="Q733" i="16" s="1"/>
  <c r="Q708" i="16" a="1"/>
  <c r="Q708" i="16" s="1"/>
  <c r="Q743" i="16" a="1"/>
  <c r="Q743" i="16" s="1"/>
  <c r="Q760" i="16" a="1"/>
  <c r="Q760" i="16" s="1"/>
  <c r="Q727" i="16" a="1"/>
  <c r="Q727" i="16" s="1"/>
  <c r="Q754" i="16" a="1"/>
  <c r="Q754" i="16" s="1"/>
  <c r="Q711" i="16" a="1"/>
  <c r="Q711" i="16" s="1"/>
  <c r="Q739" i="16" a="1"/>
  <c r="Q739" i="16" s="1"/>
  <c r="Q731" i="16" a="1"/>
  <c r="Q731" i="16" s="1"/>
  <c r="Q712" i="16" a="1"/>
  <c r="Q712" i="16" s="1"/>
  <c r="Q707" i="16" a="1"/>
  <c r="Q707" i="16" s="1"/>
  <c r="Q746" i="16" a="1"/>
  <c r="Q746" i="16" s="1"/>
  <c r="Q758" i="16" a="1"/>
  <c r="Q758" i="16" s="1"/>
  <c r="Q759" i="16" a="1"/>
  <c r="Q759" i="16" s="1"/>
  <c r="Q756" i="16" a="1"/>
  <c r="Q756" i="16" s="1"/>
  <c r="Q722" i="16" a="1"/>
  <c r="Q722" i="16" s="1"/>
  <c r="Q734" i="16" a="1"/>
  <c r="Q734" i="16" s="1"/>
  <c r="Q740" i="16" a="1"/>
  <c r="Q740" i="16" s="1"/>
  <c r="Q718" i="16" a="1"/>
  <c r="Q718" i="16" s="1"/>
  <c r="Q753" i="16" a="1"/>
  <c r="Q753" i="16" s="1"/>
  <c r="Q752" i="16" a="1"/>
  <c r="Q752" i="16" s="1"/>
  <c r="Q716" i="16" a="1"/>
  <c r="Q716" i="16" s="1"/>
  <c r="Q729" i="16" a="1"/>
  <c r="Q729" i="16" s="1"/>
  <c r="Q741" i="16" a="1"/>
  <c r="Q741" i="16" s="1"/>
  <c r="Q723" i="16" a="1"/>
  <c r="Q723" i="16" s="1"/>
  <c r="Q757" i="16" a="1"/>
  <c r="Q757" i="16" s="1"/>
  <c r="Q724" i="16" a="1"/>
  <c r="Q724" i="16" s="1"/>
  <c r="Q721" i="16" a="1"/>
  <c r="Q721" i="16" s="1"/>
  <c r="Q725" i="16" a="1"/>
  <c r="Q725" i="16" s="1"/>
  <c r="Q738" i="16" a="1"/>
  <c r="Q738" i="16" s="1"/>
  <c r="Q763" i="16" a="1"/>
  <c r="Q763" i="16" s="1"/>
  <c r="Q736" i="16" a="1"/>
  <c r="Q736" i="16" s="1"/>
  <c r="Q747" i="16" a="1"/>
  <c r="Q747" i="16" s="1"/>
  <c r="Q737" i="16" a="1"/>
  <c r="Q737" i="16" s="1"/>
  <c r="P478" i="16"/>
  <c r="P1253" i="14"/>
  <c r="Q1253" i="14" s="1"/>
  <c r="P569" i="16"/>
  <c r="G59" i="20"/>
  <c r="F59" i="20"/>
  <c r="C58" i="20"/>
  <c r="H73" i="20"/>
  <c r="G73" i="20"/>
  <c r="F73" i="20"/>
  <c r="O73" i="20"/>
  <c r="C74" i="20"/>
  <c r="U73" i="20"/>
  <c r="R73" i="20"/>
  <c r="Q694" i="16" l="1" a="1"/>
  <c r="Q694" i="16" s="1"/>
  <c r="Q695" i="16" a="1"/>
  <c r="Q695" i="16" s="1"/>
  <c r="Q674" i="16" a="1"/>
  <c r="Q674" i="16" s="1"/>
  <c r="Q693" i="16" a="1"/>
  <c r="Q693" i="16" s="1"/>
  <c r="Q689" i="16" a="1"/>
  <c r="Q689" i="16" s="1"/>
  <c r="Q671" i="16" a="1"/>
  <c r="Q671" i="16" s="1"/>
  <c r="Q699" i="16" a="1"/>
  <c r="Q699" i="16" s="1"/>
  <c r="Q688" i="16" a="1"/>
  <c r="Q688" i="16" s="1"/>
  <c r="Q677" i="16" a="1"/>
  <c r="Q677" i="16" s="1"/>
  <c r="Q686" i="16" a="1"/>
  <c r="Q686" i="16" s="1"/>
  <c r="Q687" i="16" a="1"/>
  <c r="Q687" i="16" s="1"/>
  <c r="Q704" i="16" a="1"/>
  <c r="Q704" i="16" s="1"/>
  <c r="Q673" i="16" a="1"/>
  <c r="Q673" i="16" s="1"/>
  <c r="Q698" i="16" a="1"/>
  <c r="Q698" i="16" s="1"/>
  <c r="Q664" i="16" a="1"/>
  <c r="Q664" i="16" s="1"/>
  <c r="Q705" i="16" a="1"/>
  <c r="Q705" i="16" s="1"/>
  <c r="Q666" i="16" a="1"/>
  <c r="Q666" i="16" s="1"/>
  <c r="Q678" i="16" a="1"/>
  <c r="Q678" i="16" s="1"/>
  <c r="Q684" i="16" a="1"/>
  <c r="Q684" i="16" s="1"/>
  <c r="Q668" i="16" a="1"/>
  <c r="Q668" i="16" s="1"/>
  <c r="Q697" i="16" a="1"/>
  <c r="Q697" i="16" s="1"/>
  <c r="Q696" i="16" a="1"/>
  <c r="Q696" i="16" s="1"/>
  <c r="Q685" i="16" a="1"/>
  <c r="Q685" i="16" s="1"/>
  <c r="Q681" i="16" a="1"/>
  <c r="Q681" i="16" s="1"/>
  <c r="Q691" i="16" a="1"/>
  <c r="Q691" i="16" s="1"/>
  <c r="Q680" i="16" a="1"/>
  <c r="Q680" i="16" s="1"/>
  <c r="Q703" i="16" a="1"/>
  <c r="Q703" i="16" s="1"/>
  <c r="Q700" i="16" a="1"/>
  <c r="Q700" i="16" s="1"/>
  <c r="Q701" i="16" a="1"/>
  <c r="Q701" i="16" s="1"/>
  <c r="Q679" i="16" a="1"/>
  <c r="Q679" i="16" s="1"/>
  <c r="Q706" i="16" a="1"/>
  <c r="Q706" i="16" s="1"/>
  <c r="Q702" i="16" a="1"/>
  <c r="Q702" i="16" s="1"/>
  <c r="Q669" i="16" a="1"/>
  <c r="Q669" i="16" s="1"/>
  <c r="Q690" i="16" a="1"/>
  <c r="Q690" i="16" s="1"/>
  <c r="Q670" i="16" a="1"/>
  <c r="Q670" i="16" s="1"/>
  <c r="Q683" i="16" a="1"/>
  <c r="Q683" i="16" s="1"/>
  <c r="Q667" i="16" a="1"/>
  <c r="Q667" i="16" s="1"/>
  <c r="Q676" i="16" a="1"/>
  <c r="Q676" i="16" s="1"/>
  <c r="Q665" i="16" a="1"/>
  <c r="Q665" i="16" s="1"/>
  <c r="Q682" i="16" a="1"/>
  <c r="Q682" i="16" s="1"/>
  <c r="Q692" i="16" a="1"/>
  <c r="Q692" i="16" s="1"/>
  <c r="Q675" i="16" a="1"/>
  <c r="Q675" i="16" s="1"/>
  <c r="Q672" i="16" a="1"/>
  <c r="Q672" i="16" s="1"/>
  <c r="Q569" i="16" a="1"/>
  <c r="Q569" i="16" s="1"/>
  <c r="P479" i="16"/>
  <c r="P1254" i="14"/>
  <c r="Q1254" i="14" s="1"/>
  <c r="P570" i="16"/>
  <c r="F58" i="20"/>
  <c r="C57" i="20"/>
  <c r="G58" i="20"/>
  <c r="H74" i="20"/>
  <c r="F74" i="20"/>
  <c r="C75" i="20"/>
  <c r="G74" i="20"/>
  <c r="O74" i="20"/>
  <c r="U74" i="20"/>
  <c r="R74" i="20"/>
  <c r="Q619" i="16" l="1" a="1"/>
  <c r="Q619" i="16" s="1"/>
  <c r="Q622" i="16" a="1"/>
  <c r="Q622" i="16" s="1"/>
  <c r="Q610" i="16" a="1"/>
  <c r="Q610" i="16" s="1"/>
  <c r="Q616" i="16" a="1"/>
  <c r="Q616" i="16" s="1"/>
  <c r="Q633" i="16" a="1"/>
  <c r="Q633" i="16" s="1"/>
  <c r="Q634" i="16" a="1"/>
  <c r="Q634" i="16" s="1"/>
  <c r="Q659" i="16" a="1"/>
  <c r="Q659" i="16" s="1"/>
  <c r="Q618" i="16" a="1"/>
  <c r="Q618" i="16" s="1"/>
  <c r="Q612" i="16" a="1"/>
  <c r="Q612" i="16" s="1"/>
  <c r="Q599" i="16" a="1"/>
  <c r="Q599" i="16" s="1"/>
  <c r="Q655" i="16" a="1"/>
  <c r="Q655" i="16" s="1"/>
  <c r="Q653" i="16" a="1"/>
  <c r="Q653" i="16" s="1"/>
  <c r="Q649" i="16" a="1"/>
  <c r="Q649" i="16" s="1"/>
  <c r="Q603" i="16" a="1"/>
  <c r="Q603" i="16" s="1"/>
  <c r="Q628" i="16" a="1"/>
  <c r="Q628" i="16" s="1"/>
  <c r="Q629" i="16" a="1"/>
  <c r="Q629" i="16" s="1"/>
  <c r="Q651" i="16" a="1"/>
  <c r="Q651" i="16" s="1"/>
  <c r="Q643" i="16" a="1"/>
  <c r="Q643" i="16" s="1"/>
  <c r="Q627" i="16" a="1"/>
  <c r="Q627" i="16" s="1"/>
  <c r="Q631" i="16" a="1"/>
  <c r="Q631" i="16" s="1"/>
  <c r="Q650" i="16" a="1"/>
  <c r="Q650" i="16" s="1"/>
  <c r="Q613" i="16" a="1"/>
  <c r="Q613" i="16" s="1"/>
  <c r="Q662" i="16" a="1"/>
  <c r="Q662" i="16" s="1"/>
  <c r="Q625" i="16" a="1"/>
  <c r="Q625" i="16" s="1"/>
  <c r="Q630" i="16" a="1"/>
  <c r="Q630" i="16" s="1"/>
  <c r="Q611" i="16" a="1"/>
  <c r="Q611" i="16" s="1"/>
  <c r="Q615" i="16" a="1"/>
  <c r="Q615" i="16" s="1"/>
  <c r="Q637" i="16" a="1"/>
  <c r="Q637" i="16" s="1"/>
  <c r="Q652" i="16" a="1"/>
  <c r="Q652" i="16" s="1"/>
  <c r="Q609" i="16" a="1"/>
  <c r="Q609" i="16" s="1"/>
  <c r="Q639" i="16" a="1"/>
  <c r="Q639" i="16" s="1"/>
  <c r="Q656" i="16" a="1"/>
  <c r="Q656" i="16" s="1"/>
  <c r="Q640" i="16" a="1"/>
  <c r="Q640" i="16" s="1"/>
  <c r="Q644" i="16" a="1"/>
  <c r="Q644" i="16" s="1"/>
  <c r="Q620" i="16" a="1"/>
  <c r="Q620" i="16" s="1"/>
  <c r="Q605" i="16" a="1"/>
  <c r="Q605" i="16" s="1"/>
  <c r="Q607" i="16" a="1"/>
  <c r="Q607" i="16" s="1"/>
  <c r="Q663" i="16" a="1"/>
  <c r="Q663" i="16" s="1"/>
  <c r="Q598" i="16" a="1"/>
  <c r="Q598" i="16" s="1"/>
  <c r="Q533" i="16" a="1"/>
  <c r="Q533" i="16" s="1"/>
  <c r="Q621" i="16" a="1"/>
  <c r="Q621" i="16" s="1"/>
  <c r="Q654" i="16" a="1"/>
  <c r="Q654" i="16" s="1"/>
  <c r="Q614" i="16" a="1"/>
  <c r="Q614" i="16" s="1"/>
  <c r="Q641" i="16" a="1"/>
  <c r="Q641" i="16" s="1"/>
  <c r="Q626" i="16" a="1"/>
  <c r="Q626" i="16" s="1"/>
  <c r="Q632" i="16" a="1"/>
  <c r="Q632" i="16" s="1"/>
  <c r="Q606" i="16" a="1"/>
  <c r="Q606" i="16" s="1"/>
  <c r="Q624" i="16" a="1"/>
  <c r="Q624" i="16" s="1"/>
  <c r="Q536" i="16" a="1"/>
  <c r="Q536" i="16" s="1"/>
  <c r="Q604" i="16" a="1"/>
  <c r="Q604" i="16" s="1"/>
  <c r="Q638" i="16" a="1"/>
  <c r="Q638" i="16" s="1"/>
  <c r="Q645" i="16" a="1"/>
  <c r="Q645" i="16" s="1"/>
  <c r="Q617" i="16" a="1"/>
  <c r="Q617" i="16" s="1"/>
  <c r="Q600" i="16" a="1"/>
  <c r="Q600" i="16" s="1"/>
  <c r="Q601" i="16" a="1"/>
  <c r="Q601" i="16" s="1"/>
  <c r="Q660" i="16" a="1"/>
  <c r="Q660" i="16" s="1"/>
  <c r="Q646" i="16" a="1"/>
  <c r="Q646" i="16" s="1"/>
  <c r="Q657" i="16" a="1"/>
  <c r="Q657" i="16" s="1"/>
  <c r="Q535" i="16" a="1"/>
  <c r="Q535" i="16" s="1"/>
  <c r="Q648" i="16" a="1"/>
  <c r="Q648" i="16" s="1"/>
  <c r="Q658" i="16" a="1"/>
  <c r="Q658" i="16" s="1"/>
  <c r="Q623" i="16" a="1"/>
  <c r="Q623" i="16" s="1"/>
  <c r="Q661" i="16" a="1"/>
  <c r="Q661" i="16" s="1"/>
  <c r="Q647" i="16" a="1"/>
  <c r="Q647" i="16" s="1"/>
  <c r="Q602" i="16" a="1"/>
  <c r="Q602" i="16" s="1"/>
  <c r="Q636" i="16" a="1"/>
  <c r="Q636" i="16" s="1"/>
  <c r="Q635" i="16" a="1"/>
  <c r="Q635" i="16" s="1"/>
  <c r="Q642" i="16" a="1"/>
  <c r="Q642" i="16" s="1"/>
  <c r="Q532" i="16" a="1"/>
  <c r="Q532" i="16" s="1"/>
  <c r="Q608" i="16" a="1"/>
  <c r="Q608" i="16" s="1"/>
  <c r="Q534" i="16" a="1"/>
  <c r="Q534"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70" i="16" a="1"/>
  <c r="Q570" i="16" s="1"/>
  <c r="P480" i="16"/>
  <c r="P1255" i="14"/>
  <c r="Q1255" i="14" s="1"/>
  <c r="P571" i="16"/>
  <c r="G57" i="20"/>
  <c r="F57" i="20"/>
  <c r="C56" i="20"/>
  <c r="H75" i="20"/>
  <c r="R75" i="20"/>
  <c r="O75" i="20"/>
  <c r="C76" i="20"/>
  <c r="F75" i="20"/>
  <c r="G75" i="20"/>
  <c r="U75" i="20"/>
  <c r="Q529" i="16" l="1" a="1"/>
  <c r="Q529" i="16" s="1"/>
  <c r="Q528" i="16" a="1"/>
  <c r="Q528" i="16" s="1"/>
  <c r="Q527" i="16" a="1"/>
  <c r="Q527" i="16" s="1"/>
  <c r="Q530" i="16" a="1"/>
  <c r="Q530" i="16" s="1"/>
  <c r="Q531" i="16" a="1"/>
  <c r="Q531" i="16" s="1"/>
  <c r="Q480" i="16" a="1"/>
  <c r="Q480" i="16" s="1"/>
  <c r="Q571" i="16" a="1"/>
  <c r="Q571" i="16" s="1"/>
  <c r="P481" i="16"/>
  <c r="P1256" i="14"/>
  <c r="Q1256" i="14" s="1"/>
  <c r="P572" i="16"/>
  <c r="C55" i="20"/>
  <c r="F56" i="20"/>
  <c r="G56" i="20"/>
  <c r="H76" i="20"/>
  <c r="O76" i="20"/>
  <c r="F76" i="20"/>
  <c r="C77" i="20"/>
  <c r="U76" i="20"/>
  <c r="G76" i="20"/>
  <c r="R76" i="20"/>
  <c r="Q522" i="16" l="1" a="1"/>
  <c r="Q522" i="16" s="1"/>
  <c r="Q501" i="16" a="1"/>
  <c r="Q501" i="16" s="1"/>
  <c r="Q516" i="16" a="1"/>
  <c r="Q516" i="16" s="1"/>
  <c r="Q505" i="16" a="1"/>
  <c r="Q505" i="16" s="1"/>
  <c r="Q519" i="16" a="1"/>
  <c r="Q519" i="16" s="1"/>
  <c r="Q526" i="16" a="1"/>
  <c r="Q526" i="16" s="1"/>
  <c r="Q514" i="16" a="1"/>
  <c r="Q514" i="16" s="1"/>
  <c r="Q504" i="16" a="1"/>
  <c r="Q504" i="16" s="1"/>
  <c r="Q525" i="16" a="1"/>
  <c r="Q525" i="16" s="1"/>
  <c r="Q508" i="16" a="1"/>
  <c r="Q508" i="16" s="1"/>
  <c r="Q507" i="16" a="1"/>
  <c r="Q507" i="16" s="1"/>
  <c r="Q517" i="16" a="1"/>
  <c r="Q517" i="16" s="1"/>
  <c r="Q506" i="16" a="1"/>
  <c r="Q506" i="16" s="1"/>
  <c r="Q511" i="16" a="1"/>
  <c r="Q511" i="16" s="1"/>
  <c r="Q518" i="16" a="1"/>
  <c r="Q518" i="16" s="1"/>
  <c r="Q521" i="16" a="1"/>
  <c r="Q521" i="16" s="1"/>
  <c r="Q503" i="16" a="1"/>
  <c r="Q503" i="16" s="1"/>
  <c r="Q510" i="16" a="1"/>
  <c r="Q510" i="16" s="1"/>
  <c r="Q509" i="16" a="1"/>
  <c r="Q509" i="16" s="1"/>
  <c r="Q524" i="16" a="1"/>
  <c r="Q524" i="16" s="1"/>
  <c r="Q520" i="16" a="1"/>
  <c r="Q520" i="16" s="1"/>
  <c r="Q523" i="16" a="1"/>
  <c r="Q523" i="16" s="1"/>
  <c r="Q502" i="16" a="1"/>
  <c r="Q502" i="16" s="1"/>
  <c r="Q515" i="16" a="1"/>
  <c r="Q515" i="16" s="1"/>
  <c r="Q513" i="16" a="1"/>
  <c r="Q513" i="16" s="1"/>
  <c r="Q512" i="16" a="1"/>
  <c r="Q512"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572" i="16" a="1"/>
  <c r="Q572" i="16" s="1"/>
  <c r="Q481" i="16" a="1"/>
  <c r="Q481" i="16" s="1"/>
  <c r="P482" i="16"/>
  <c r="P1257" i="14"/>
  <c r="Q1257" i="14" s="1"/>
  <c r="P573" i="16"/>
  <c r="C54" i="20"/>
  <c r="F55" i="20"/>
  <c r="G55" i="20"/>
  <c r="H77" i="20"/>
  <c r="R77" i="20"/>
  <c r="O77" i="20"/>
  <c r="G77" i="20"/>
  <c r="U77" i="20"/>
  <c r="C78" i="20"/>
  <c r="F77" i="20"/>
  <c r="Q405" i="16" l="1" a="1"/>
  <c r="Q405" i="16" s="1"/>
  <c r="Q373" i="16" a="1"/>
  <c r="Q373" i="16" s="1"/>
  <c r="Q428" i="16" a="1"/>
  <c r="Q428" i="16" s="1"/>
  <c r="Q442" i="16" a="1"/>
  <c r="Q442" i="16" s="1"/>
  <c r="Q388" i="16" a="1"/>
  <c r="Q388" i="16" s="1"/>
  <c r="Q423" i="16" a="1"/>
  <c r="Q423" i="16" s="1"/>
  <c r="Q387" i="16" a="1"/>
  <c r="Q387" i="16" s="1"/>
  <c r="Q413" i="16" a="1"/>
  <c r="Q413" i="16" s="1"/>
  <c r="Q435" i="16" a="1"/>
  <c r="Q435" i="16" s="1"/>
  <c r="Q391" i="16" a="1"/>
  <c r="Q391" i="16" s="1"/>
  <c r="Q359" i="16" a="1"/>
  <c r="Q359" i="16" s="1"/>
  <c r="Q424" i="16" a="1"/>
  <c r="Q424" i="16" s="1"/>
  <c r="Q368" i="16" a="1"/>
  <c r="Q368" i="16" s="1"/>
  <c r="Q425" i="16" a="1"/>
  <c r="Q425" i="16" s="1"/>
  <c r="Q357" i="16" a="1"/>
  <c r="Q357" i="16" s="1"/>
  <c r="Q418" i="16" a="1"/>
  <c r="Q418" i="16" s="1"/>
  <c r="Q441" i="16" a="1"/>
  <c r="Q441" i="16" s="1"/>
  <c r="Q362" i="16" a="1"/>
  <c r="Q362" i="16" s="1"/>
  <c r="Q417" i="16" a="1"/>
  <c r="Q417" i="16" s="1"/>
  <c r="Q401" i="16" a="1"/>
  <c r="Q401" i="16" s="1"/>
  <c r="Q369" i="16" a="1"/>
  <c r="Q369" i="16" s="1"/>
  <c r="Q400" i="16" a="1"/>
  <c r="Q400" i="16" s="1"/>
  <c r="Q389" i="16" a="1"/>
  <c r="Q389" i="16" s="1"/>
  <c r="Q433" i="16" a="1"/>
  <c r="Q433" i="16" s="1"/>
  <c r="Q380" i="16" a="1"/>
  <c r="Q380" i="16" s="1"/>
  <c r="Q437" i="16" a="1"/>
  <c r="Q437" i="16" s="1"/>
  <c r="Q379" i="16" a="1"/>
  <c r="Q379" i="16" s="1"/>
  <c r="Q394" i="16" a="1"/>
  <c r="Q394" i="16" s="1"/>
  <c r="Q421" i="16" a="1"/>
  <c r="Q421" i="16" s="1"/>
  <c r="Q383" i="16" a="1"/>
  <c r="Q383" i="16" s="1"/>
  <c r="Q351" i="16" a="1"/>
  <c r="Q351" i="16" s="1"/>
  <c r="Q420" i="16" a="1"/>
  <c r="Q420" i="16" s="1"/>
  <c r="Q382" i="16" a="1"/>
  <c r="Q382" i="16" s="1"/>
  <c r="Q443" i="16" a="1"/>
  <c r="Q443" i="16" s="1"/>
  <c r="Q409" i="16" a="1"/>
  <c r="Q409" i="16" s="1"/>
  <c r="Q386" i="16" a="1"/>
  <c r="Q386" i="16" s="1"/>
  <c r="Q445" i="16" a="1"/>
  <c r="Q445" i="16" s="1"/>
  <c r="Q381" i="16" a="1"/>
  <c r="Q381" i="16" s="1"/>
  <c r="Q404" i="16" a="1"/>
  <c r="Q404" i="16" s="1"/>
  <c r="Q372" i="16" a="1"/>
  <c r="Q372" i="16" s="1"/>
  <c r="Q432" i="16" a="1"/>
  <c r="Q432" i="16" s="1"/>
  <c r="Q403" i="16" a="1"/>
  <c r="Q403" i="16" s="1"/>
  <c r="Q371" i="16" a="1"/>
  <c r="Q371" i="16" s="1"/>
  <c r="Q436" i="16" a="1"/>
  <c r="Q436" i="16" s="1"/>
  <c r="Q354" i="16" a="1"/>
  <c r="Q354" i="16" s="1"/>
  <c r="Q393" i="16" a="1"/>
  <c r="Q393" i="16" s="1"/>
  <c r="Q361" i="16" a="1"/>
  <c r="Q361" i="16" s="1"/>
  <c r="Q412" i="16" a="1"/>
  <c r="Q412" i="16" s="1"/>
  <c r="Q392" i="16" a="1"/>
  <c r="Q392" i="16" s="1"/>
  <c r="Q360" i="16" a="1"/>
  <c r="Q360" i="16" s="1"/>
  <c r="Q416" i="16" a="1"/>
  <c r="Q416" i="16" s="1"/>
  <c r="Q414" i="16" a="1"/>
  <c r="Q414" i="16" s="1"/>
  <c r="Q422" i="16" a="1"/>
  <c r="Q422" i="16" s="1"/>
  <c r="Q431" i="16" a="1"/>
  <c r="Q431" i="16" s="1"/>
  <c r="Q385" i="16" a="1"/>
  <c r="Q385" i="16" s="1"/>
  <c r="Q353" i="16" a="1"/>
  <c r="Q353" i="16" s="1"/>
  <c r="Q384" i="16" a="1"/>
  <c r="Q384" i="16" s="1"/>
  <c r="Q408" i="16" a="1"/>
  <c r="Q408" i="16" s="1"/>
  <c r="Q399" i="16" a="1"/>
  <c r="Q399" i="16" s="1"/>
  <c r="Q367" i="16" a="1"/>
  <c r="Q367" i="16" s="1"/>
  <c r="Q365" i="16" a="1"/>
  <c r="Q365" i="16" s="1"/>
  <c r="Q396" i="16" a="1"/>
  <c r="Q396" i="16" s="1"/>
  <c r="Q364" i="16" a="1"/>
  <c r="Q364" i="16" s="1"/>
  <c r="Q427" i="16" a="1"/>
  <c r="Q427" i="16" s="1"/>
  <c r="Q395" i="16" a="1"/>
  <c r="Q395" i="16" s="1"/>
  <c r="Q363" i="16" a="1"/>
  <c r="Q363" i="16" s="1"/>
  <c r="Q378" i="16" a="1"/>
  <c r="Q378" i="16" s="1"/>
  <c r="Q440" i="16" a="1"/>
  <c r="Q440" i="16" s="1"/>
  <c r="Q352" i="16" a="1"/>
  <c r="Q352" i="16" s="1"/>
  <c r="Q444" i="16" a="1"/>
  <c r="Q444" i="16" s="1"/>
  <c r="Q429" i="16" a="1"/>
  <c r="Q429" i="16" s="1"/>
  <c r="Q411" i="16" a="1"/>
  <c r="Q411" i="16" s="1"/>
  <c r="Q398" i="16" a="1"/>
  <c r="Q398" i="16" s="1"/>
  <c r="Q419" i="16" a="1"/>
  <c r="Q419" i="16" s="1"/>
  <c r="Q397" i="16" a="1"/>
  <c r="Q397" i="16" s="1"/>
  <c r="Q376" i="16" a="1"/>
  <c r="Q376" i="16" s="1"/>
  <c r="Q375" i="16" a="1"/>
  <c r="Q375" i="16" s="1"/>
  <c r="Q439" i="16" a="1"/>
  <c r="Q439" i="16" s="1"/>
  <c r="Q415" i="16" a="1"/>
  <c r="Q415" i="16" s="1"/>
  <c r="Q430" i="16" a="1"/>
  <c r="Q430" i="16" s="1"/>
  <c r="Q374" i="16" a="1"/>
  <c r="Q374" i="16" s="1"/>
  <c r="Q406" i="16" a="1"/>
  <c r="Q406" i="16" s="1"/>
  <c r="Q370" i="16" a="1"/>
  <c r="Q370" i="16" s="1"/>
  <c r="Q434" i="16" a="1"/>
  <c r="Q434" i="16" s="1"/>
  <c r="Q366" i="16" a="1"/>
  <c r="Q366" i="16" s="1"/>
  <c r="Q356" i="16" a="1"/>
  <c r="Q356" i="16" s="1"/>
  <c r="Q377" i="16" a="1"/>
  <c r="Q377" i="16" s="1"/>
  <c r="Q407" i="16" a="1"/>
  <c r="Q407" i="16" s="1"/>
  <c r="Q355" i="16" a="1"/>
  <c r="Q355" i="16" s="1"/>
  <c r="Q426" i="16" a="1"/>
  <c r="Q426" i="16" s="1"/>
  <c r="Q358" i="16" a="1"/>
  <c r="Q358" i="16" s="1"/>
  <c r="Q438" i="16" a="1"/>
  <c r="Q438" i="16" s="1"/>
  <c r="Q410" i="16" a="1"/>
  <c r="Q410" i="16" s="1"/>
  <c r="Q402" i="16" a="1"/>
  <c r="Q402" i="16" s="1"/>
  <c r="Q390" i="16" a="1"/>
  <c r="Q390" i="16" s="1"/>
  <c r="Q350" i="16" a="1"/>
  <c r="Q350" i="16" s="1"/>
  <c r="Q446" i="16" a="1"/>
  <c r="Q446" i="16" s="1"/>
  <c r="Q482" i="16" a="1"/>
  <c r="Q482" i="16" s="1"/>
  <c r="Q573" i="16" a="1"/>
  <c r="Q573" i="16" s="1"/>
  <c r="P483" i="16"/>
  <c r="P1258" i="14"/>
  <c r="Q1258" i="14" s="1"/>
  <c r="P574" i="16"/>
  <c r="G54" i="20"/>
  <c r="C53" i="20"/>
  <c r="F54" i="20"/>
  <c r="H78" i="20"/>
  <c r="C79" i="20"/>
  <c r="F78" i="20"/>
  <c r="G78" i="20"/>
  <c r="R78" i="20"/>
  <c r="U78" i="20"/>
  <c r="O78" i="20"/>
  <c r="Q341" i="16" l="1" a="1"/>
  <c r="Q341" i="16" s="1"/>
  <c r="Q283" i="16" a="1"/>
  <c r="Q283" i="16" s="1"/>
  <c r="Q333" i="16" a="1"/>
  <c r="Q333" i="16" s="1"/>
  <c r="Q287" i="16" a="1"/>
  <c r="Q287" i="16" s="1"/>
  <c r="Q279" i="16" a="1"/>
  <c r="Q279" i="16" s="1"/>
  <c r="Q301" i="16" a="1"/>
  <c r="Q301" i="16" s="1"/>
  <c r="Q296" i="16" a="1"/>
  <c r="Q296" i="16" s="1"/>
  <c r="Q323" i="16" a="1"/>
  <c r="Q323" i="16" s="1"/>
  <c r="Q300" i="16" a="1"/>
  <c r="Q300" i="16" s="1"/>
  <c r="Q319" i="16" a="1"/>
  <c r="Q319" i="16" s="1"/>
  <c r="Q313" i="16" a="1"/>
  <c r="Q313" i="16" s="1"/>
  <c r="Q327" i="16" a="1"/>
  <c r="Q327" i="16" s="1"/>
  <c r="Q275" i="16" a="1"/>
  <c r="Q275" i="16" s="1"/>
  <c r="Q326" i="16" a="1"/>
  <c r="Q326" i="16" s="1"/>
  <c r="Q337" i="16" a="1"/>
  <c r="Q337" i="16" s="1"/>
  <c r="Q284" i="16" a="1"/>
  <c r="Q284" i="16" s="1"/>
  <c r="Q280" i="16" a="1"/>
  <c r="Q280" i="16" s="1"/>
  <c r="Q288" i="16" a="1"/>
  <c r="Q288" i="16" s="1"/>
  <c r="Q347" i="16" a="1"/>
  <c r="Q347" i="16" s="1"/>
  <c r="Q330" i="16" a="1"/>
  <c r="Q330" i="16" s="1"/>
  <c r="Q297" i="16" a="1"/>
  <c r="Q297" i="16" s="1"/>
  <c r="Q305" i="16" a="1"/>
  <c r="Q305" i="16" s="1"/>
  <c r="Q336" i="16" a="1"/>
  <c r="Q336" i="16" s="1"/>
  <c r="Q322" i="16" a="1"/>
  <c r="Q322" i="16" s="1"/>
  <c r="Q348" i="16" a="1"/>
  <c r="Q348" i="16" s="1"/>
  <c r="Q295" i="16" a="1"/>
  <c r="Q295" i="16" s="1"/>
  <c r="Q317" i="16" a="1"/>
  <c r="Q317" i="16" s="1"/>
  <c r="Q310" i="16" a="1"/>
  <c r="Q310" i="16" s="1"/>
  <c r="Q285" i="16" a="1"/>
  <c r="Q285" i="16" s="1"/>
  <c r="Q349" i="16" a="1"/>
  <c r="Q349" i="16" s="1"/>
  <c r="Q286" i="16" a="1"/>
  <c r="Q286" i="16" s="1"/>
  <c r="Q340" i="16" a="1"/>
  <c r="Q340" i="16" s="1"/>
  <c r="Q339" i="16" a="1"/>
  <c r="Q339" i="16" s="1"/>
  <c r="Q304" i="16" a="1"/>
  <c r="Q304" i="16" s="1"/>
  <c r="Q308" i="16" a="1"/>
  <c r="Q308" i="16" s="1"/>
  <c r="Q306" i="16" a="1"/>
  <c r="Q306" i="16" s="1"/>
  <c r="Q276" i="16" a="1"/>
  <c r="Q276" i="16" s="1"/>
  <c r="Q314" i="16" a="1"/>
  <c r="Q314" i="16" s="1"/>
  <c r="Q278" i="16" a="1"/>
  <c r="Q278" i="16" s="1"/>
  <c r="Q292" i="16" a="1"/>
  <c r="Q292" i="16" s="1"/>
  <c r="Q299" i="16" a="1"/>
  <c r="Q299" i="16" s="1"/>
  <c r="Q329" i="16" a="1"/>
  <c r="Q329" i="16" s="1"/>
  <c r="Q311" i="16" a="1"/>
  <c r="Q311" i="16" s="1"/>
  <c r="Q328" i="16" a="1"/>
  <c r="Q328" i="16" s="1"/>
  <c r="Q318" i="16" a="1"/>
  <c r="Q318" i="16" s="1"/>
  <c r="Q282" i="16" a="1"/>
  <c r="Q282" i="16" s="1"/>
  <c r="Q293" i="16" a="1"/>
  <c r="Q293" i="16" s="1"/>
  <c r="Q332" i="16" a="1"/>
  <c r="Q332" i="16" s="1"/>
  <c r="Q294" i="16" a="1"/>
  <c r="Q294" i="16" s="1"/>
  <c r="Q346" i="16" a="1"/>
  <c r="Q346" i="16" s="1"/>
  <c r="Q302" i="16" a="1"/>
  <c r="Q302" i="16" s="1"/>
  <c r="Q312" i="16" a="1"/>
  <c r="Q312" i="16" s="1"/>
  <c r="Q320" i="16" a="1"/>
  <c r="Q320" i="16" s="1"/>
  <c r="Q303" i="16" a="1"/>
  <c r="Q303" i="16" s="1"/>
  <c r="Q335" i="16" a="1"/>
  <c r="Q335" i="16" s="1"/>
  <c r="Q325" i="16" a="1"/>
  <c r="Q325" i="16" s="1"/>
  <c r="Q291" i="16" a="1"/>
  <c r="Q291" i="16" s="1"/>
  <c r="Q281" i="16" a="1"/>
  <c r="Q281" i="16" s="1"/>
  <c r="Q309" i="16" a="1"/>
  <c r="Q309" i="16" s="1"/>
  <c r="Q331" i="16" a="1"/>
  <c r="Q331" i="16" s="1"/>
  <c r="Q307" i="16" a="1"/>
  <c r="Q307" i="16" s="1"/>
  <c r="Q289" i="16" a="1"/>
  <c r="Q289" i="16" s="1"/>
  <c r="Q315" i="16" a="1"/>
  <c r="Q315" i="16" s="1"/>
  <c r="Q316" i="16" a="1"/>
  <c r="Q316" i="16" s="1"/>
  <c r="Q342" i="16" a="1"/>
  <c r="Q342" i="16" s="1"/>
  <c r="Q290" i="16" a="1"/>
  <c r="Q290" i="16" s="1"/>
  <c r="Q334" i="16" a="1"/>
  <c r="Q334" i="16" s="1"/>
  <c r="Q298" i="16" a="1"/>
  <c r="Q298" i="16" s="1"/>
  <c r="Q274" i="16" a="1"/>
  <c r="Q274" i="16" s="1"/>
  <c r="Q321" i="16" a="1"/>
  <c r="Q321" i="16" s="1"/>
  <c r="Q338" i="16" a="1"/>
  <c r="Q338" i="16" s="1"/>
  <c r="Q324" i="16" a="1"/>
  <c r="Q324" i="16" s="1"/>
  <c r="Q345" i="16" a="1"/>
  <c r="Q345" i="16" s="1"/>
  <c r="Q277" i="16" a="1"/>
  <c r="Q277" i="16" s="1"/>
  <c r="Q344" i="16" a="1"/>
  <c r="Q344" i="16" s="1"/>
  <c r="Q343" i="16" a="1"/>
  <c r="Q343" i="16" s="1"/>
  <c r="Q483" i="16" a="1"/>
  <c r="Q483" i="16" s="1"/>
  <c r="Q574" i="16" a="1"/>
  <c r="Q574" i="16" s="1"/>
  <c r="P484" i="16"/>
  <c r="P1259" i="14"/>
  <c r="Q1259" i="14" s="1"/>
  <c r="P575" i="16"/>
  <c r="C52" i="20"/>
  <c r="F53" i="20"/>
  <c r="G53" i="20"/>
  <c r="H79" i="20"/>
  <c r="G79" i="20"/>
  <c r="U79" i="20"/>
  <c r="C80" i="20"/>
  <c r="F79" i="20"/>
  <c r="O79" i="20"/>
  <c r="R79" i="20"/>
  <c r="Q269" i="16" l="1" a="1"/>
  <c r="Q269" i="16" s="1"/>
  <c r="Q260" i="16" a="1"/>
  <c r="Q260" i="16" s="1"/>
  <c r="Q262" i="16" a="1"/>
  <c r="Q262" i="16" s="1"/>
  <c r="Q268" i="16" a="1"/>
  <c r="Q268" i="16" s="1"/>
  <c r="Q272" i="16" a="1"/>
  <c r="Q272" i="16" s="1"/>
  <c r="Q261" i="16" a="1"/>
  <c r="Q261" i="16" s="1"/>
  <c r="Q265" i="16" a="1"/>
  <c r="Q265" i="16" s="1"/>
  <c r="Q267" i="16" a="1"/>
  <c r="Q267" i="16" s="1"/>
  <c r="Q270" i="16" a="1"/>
  <c r="Q270" i="16" s="1"/>
  <c r="Q258" i="16" a="1"/>
  <c r="Q258" i="16" s="1"/>
  <c r="Q273" i="16" a="1"/>
  <c r="Q273" i="16" s="1"/>
  <c r="Q263" i="16" a="1"/>
  <c r="Q263" i="16" s="1"/>
  <c r="Q259" i="16" a="1"/>
  <c r="Q259" i="16" s="1"/>
  <c r="Q266" i="16" a="1"/>
  <c r="Q266" i="16" s="1"/>
  <c r="Q264" i="16" a="1"/>
  <c r="Q264" i="16" s="1"/>
  <c r="Q271" i="16" a="1"/>
  <c r="Q271" i="16" s="1"/>
  <c r="Q575" i="16" a="1"/>
  <c r="Q575" i="16" s="1"/>
  <c r="Q484" i="16" a="1"/>
  <c r="Q484" i="16" s="1"/>
  <c r="P485" i="16"/>
  <c r="P1260" i="14"/>
  <c r="Q1260" i="14" s="1"/>
  <c r="P576" i="16"/>
  <c r="C51" i="20"/>
  <c r="G52" i="20"/>
  <c r="F52" i="20"/>
  <c r="H80" i="20"/>
  <c r="O80" i="20"/>
  <c r="R80" i="20"/>
  <c r="F80" i="20"/>
  <c r="U80" i="20"/>
  <c r="C81" i="20"/>
  <c r="G80" i="20"/>
  <c r="Q236" i="16" l="1" a="1"/>
  <c r="Q236" i="16" s="1"/>
  <c r="Q245" i="16" a="1"/>
  <c r="Q245" i="16" s="1"/>
  <c r="Q215" i="16" a="1"/>
  <c r="Q215" i="16" s="1"/>
  <c r="Q223" i="16" a="1"/>
  <c r="Q223" i="16" s="1"/>
  <c r="Q246" i="16" a="1"/>
  <c r="Q246" i="16" s="1"/>
  <c r="Q241" i="16" a="1"/>
  <c r="Q241" i="16" s="1"/>
  <c r="Q229" i="16" a="1"/>
  <c r="Q229" i="16" s="1"/>
  <c r="Q252" i="16" a="1"/>
  <c r="Q252" i="16" s="1"/>
  <c r="Q256" i="16" a="1"/>
  <c r="Q256" i="16" s="1"/>
  <c r="Q226" i="16" a="1"/>
  <c r="Q226" i="16" s="1"/>
  <c r="Q218" i="16" a="1"/>
  <c r="Q218" i="16" s="1"/>
  <c r="Q220" i="16" a="1"/>
  <c r="Q220" i="16" s="1"/>
  <c r="Q231" i="16" a="1"/>
  <c r="Q231" i="16" s="1"/>
  <c r="Q238" i="16" a="1"/>
  <c r="Q238" i="16" s="1"/>
  <c r="Q214" i="16" a="1"/>
  <c r="Q214" i="16" s="1"/>
  <c r="Q249" i="16" a="1"/>
  <c r="Q249" i="16" s="1"/>
  <c r="Q251" i="16" a="1"/>
  <c r="Q251" i="16" s="1"/>
  <c r="Q222" i="16" a="1"/>
  <c r="Q222" i="16" s="1"/>
  <c r="Q254" i="16" a="1"/>
  <c r="Q254" i="16" s="1"/>
  <c r="Q239" i="16" a="1"/>
  <c r="Q239" i="16" s="1"/>
  <c r="Q247" i="16" a="1"/>
  <c r="Q247" i="16" s="1"/>
  <c r="Q242" i="16" a="1"/>
  <c r="Q242" i="16" s="1"/>
  <c r="Q237" i="16" a="1"/>
  <c r="Q237" i="16" s="1"/>
  <c r="Q219" i="16" a="1"/>
  <c r="Q219" i="16" s="1"/>
  <c r="Q228" i="16" a="1"/>
  <c r="Q228" i="16" s="1"/>
  <c r="Q230" i="16" a="1"/>
  <c r="Q230" i="16" s="1"/>
  <c r="Q248" i="16" a="1"/>
  <c r="Q248" i="16" s="1"/>
  <c r="Q253" i="16" a="1"/>
  <c r="Q253" i="16" s="1"/>
  <c r="Q255" i="16" a="1"/>
  <c r="Q255" i="16" s="1"/>
  <c r="Q244" i="16" a="1"/>
  <c r="Q244" i="16" s="1"/>
  <c r="Q232" i="16" a="1"/>
  <c r="Q232" i="16" s="1"/>
  <c r="Q233" i="16" a="1"/>
  <c r="Q233" i="16" s="1"/>
  <c r="Q235" i="16" a="1"/>
  <c r="Q235" i="16" s="1"/>
  <c r="Q221" i="16" a="1"/>
  <c r="Q221" i="16" s="1"/>
  <c r="Q243" i="16" a="1"/>
  <c r="Q243" i="16" s="1"/>
  <c r="Q217" i="16" a="1"/>
  <c r="Q217" i="16" s="1"/>
  <c r="Q225" i="16" a="1"/>
  <c r="Q225" i="16" s="1"/>
  <c r="Q257" i="16" a="1"/>
  <c r="Q257" i="16" s="1"/>
  <c r="Q224" i="16" a="1"/>
  <c r="Q224" i="16" s="1"/>
  <c r="Q240" i="16" a="1"/>
  <c r="Q240" i="16" s="1"/>
  <c r="Q216" i="16" a="1"/>
  <c r="Q216" i="16" s="1"/>
  <c r="Q250" i="16" a="1"/>
  <c r="Q250" i="16" s="1"/>
  <c r="Q227" i="16" a="1"/>
  <c r="Q227" i="16" s="1"/>
  <c r="Q234" i="16" a="1"/>
  <c r="Q234" i="16" s="1"/>
  <c r="Q485" i="16" a="1"/>
  <c r="Q485" i="16" s="1"/>
  <c r="Q576" i="16" a="1"/>
  <c r="Q576" i="16" s="1"/>
  <c r="P486" i="16"/>
  <c r="P1261" i="14"/>
  <c r="Q1261" i="14" s="1"/>
  <c r="P577" i="16"/>
  <c r="C50" i="20"/>
  <c r="G51" i="20"/>
  <c r="F51" i="20"/>
  <c r="H81" i="20"/>
  <c r="F81" i="20"/>
  <c r="G81" i="20"/>
  <c r="O81" i="20"/>
  <c r="U81" i="20"/>
  <c r="R81" i="20"/>
  <c r="C82" i="20"/>
  <c r="Q207" i="16" l="1" a="1"/>
  <c r="Q207" i="16" s="1"/>
  <c r="Q166" i="16" a="1"/>
  <c r="Q166" i="16" s="1"/>
  <c r="Q204" i="16" a="1"/>
  <c r="Q204" i="16" s="1"/>
  <c r="Q212" i="16" a="1"/>
  <c r="Q212" i="16" s="1"/>
  <c r="Q179" i="16" a="1"/>
  <c r="Q179" i="16" s="1"/>
  <c r="Q160" i="16" a="1"/>
  <c r="Q160" i="16" s="1"/>
  <c r="Q178" i="16" a="1"/>
  <c r="Q178" i="16" s="1"/>
  <c r="Q161" i="16" a="1"/>
  <c r="Q161" i="16" s="1"/>
  <c r="Q164" i="16" a="1"/>
  <c r="Q164" i="16" s="1"/>
  <c r="Q156" i="16" a="1"/>
  <c r="Q156" i="16" s="1"/>
  <c r="Q210" i="16" a="1"/>
  <c r="Q210" i="16" s="1"/>
  <c r="Q158" i="16" a="1"/>
  <c r="Q158" i="16" s="1"/>
  <c r="Q189" i="16" a="1"/>
  <c r="Q189" i="16" s="1"/>
  <c r="Q165" i="16" a="1"/>
  <c r="Q165" i="16" s="1"/>
  <c r="Q159" i="16" a="1"/>
  <c r="Q159" i="16" s="1"/>
  <c r="Q169" i="16" a="1"/>
  <c r="Q169" i="16" s="1"/>
  <c r="Q168" i="16" a="1"/>
  <c r="Q168" i="16" s="1"/>
  <c r="Q181" i="16" a="1"/>
  <c r="Q181" i="16" s="1"/>
  <c r="Q185" i="16" a="1"/>
  <c r="Q185" i="16" s="1"/>
  <c r="Q176" i="16" a="1"/>
  <c r="Q176" i="16" s="1"/>
  <c r="Q194" i="16" a="1"/>
  <c r="Q194" i="16" s="1"/>
  <c r="Q193" i="16" a="1"/>
  <c r="Q193" i="16" s="1"/>
  <c r="Q180" i="16" a="1"/>
  <c r="Q180" i="16" s="1"/>
  <c r="Q197" i="16" a="1"/>
  <c r="Q197" i="16" s="1"/>
  <c r="Q182" i="16" a="1"/>
  <c r="Q182" i="16" s="1"/>
  <c r="Q177" i="16" a="1"/>
  <c r="Q177" i="16" s="1"/>
  <c r="Q172" i="16" a="1"/>
  <c r="Q172" i="16" s="1"/>
  <c r="Q174" i="16" a="1"/>
  <c r="Q174" i="16" s="1"/>
  <c r="Q155" i="16" a="1"/>
  <c r="Q155" i="16" s="1"/>
  <c r="Q201" i="16" a="1"/>
  <c r="Q201" i="16" s="1"/>
  <c r="Q190" i="16" a="1"/>
  <c r="Q190" i="16" s="1"/>
  <c r="Q192" i="16" a="1"/>
  <c r="Q192" i="16" s="1"/>
  <c r="Q187" i="16" a="1"/>
  <c r="Q187" i="16" s="1"/>
  <c r="Q196" i="16" a="1"/>
  <c r="Q196" i="16" s="1"/>
  <c r="Q195" i="16" a="1"/>
  <c r="Q195" i="16" s="1"/>
  <c r="Q154" i="16" a="1"/>
  <c r="Q154" i="16" s="1"/>
  <c r="Q208" i="16" a="1"/>
  <c r="Q208" i="16" s="1"/>
  <c r="Q175" i="16" a="1"/>
  <c r="Q175" i="16" s="1"/>
  <c r="Q211" i="16" a="1"/>
  <c r="Q211" i="16" s="1"/>
  <c r="Q183" i="16" a="1"/>
  <c r="Q183" i="16" s="1"/>
  <c r="Q213" i="16" a="1"/>
  <c r="Q213" i="16" s="1"/>
  <c r="Q191" i="16" a="1"/>
  <c r="Q191" i="16" s="1"/>
  <c r="Q198" i="16" a="1"/>
  <c r="Q198" i="16" s="1"/>
  <c r="Q199" i="16" a="1"/>
  <c r="Q199" i="16" s="1"/>
  <c r="Q200" i="16" a="1"/>
  <c r="Q200" i="16" s="1"/>
  <c r="Q167" i="16" a="1"/>
  <c r="Q167" i="16" s="1"/>
  <c r="Q184" i="16" a="1"/>
  <c r="Q184" i="16" s="1"/>
  <c r="Q171" i="16" a="1"/>
  <c r="Q171" i="16" s="1"/>
  <c r="Q202" i="16" a="1"/>
  <c r="Q202" i="16" s="1"/>
  <c r="Q186" i="16" a="1"/>
  <c r="Q186" i="16" s="1"/>
  <c r="Q205" i="16" a="1"/>
  <c r="Q205" i="16" s="1"/>
  <c r="Q209" i="16" a="1"/>
  <c r="Q209" i="16" s="1"/>
  <c r="Q157" i="16" a="1"/>
  <c r="Q157" i="16" s="1"/>
  <c r="Q203" i="16" a="1"/>
  <c r="Q203" i="16" s="1"/>
  <c r="Q188" i="16" a="1"/>
  <c r="Q188" i="16" s="1"/>
  <c r="Q163" i="16" a="1"/>
  <c r="Q163" i="16" s="1"/>
  <c r="Q206" i="16" a="1"/>
  <c r="Q206" i="16" s="1"/>
  <c r="Q170" i="16" a="1"/>
  <c r="Q170" i="16" s="1"/>
  <c r="Q162" i="16" a="1"/>
  <c r="Q162" i="16" s="1"/>
  <c r="Q173" i="16" a="1"/>
  <c r="Q173" i="16" s="1"/>
  <c r="Q577" i="16" a="1"/>
  <c r="Q577" i="16" s="1"/>
  <c r="Q486" i="16" a="1"/>
  <c r="Q486" i="16" s="1"/>
  <c r="P487" i="16"/>
  <c r="P1262" i="14"/>
  <c r="Q1262" i="14" s="1"/>
  <c r="P578" i="16"/>
  <c r="G50" i="20"/>
  <c r="C49" i="20"/>
  <c r="F50" i="20"/>
  <c r="H82" i="20"/>
  <c r="U82" i="20"/>
  <c r="G82" i="20"/>
  <c r="F82" i="20"/>
  <c r="O82" i="20"/>
  <c r="C83" i="20"/>
  <c r="R82" i="20"/>
  <c r="Q150" i="16" l="1" a="1"/>
  <c r="Q150" i="16" s="1"/>
  <c r="Q153" i="16" a="1"/>
  <c r="Q153" i="16" s="1"/>
  <c r="Q149" i="16" a="1"/>
  <c r="Q149" i="16" s="1"/>
  <c r="Q151" i="16" a="1"/>
  <c r="Q151" i="16" s="1"/>
  <c r="Q148" i="16" a="1"/>
  <c r="Q148" i="16" s="1"/>
  <c r="Q152" i="16" a="1"/>
  <c r="Q152" i="16" s="1"/>
  <c r="Q487" i="16" a="1"/>
  <c r="Q487" i="16" s="1"/>
  <c r="Q578" i="16" a="1"/>
  <c r="Q578" i="16" s="1"/>
  <c r="P488" i="16"/>
  <c r="P1263" i="14"/>
  <c r="Q1263" i="14" s="1"/>
  <c r="P579" i="16"/>
  <c r="C48" i="20"/>
  <c r="G49" i="20"/>
  <c r="F49" i="20"/>
  <c r="H83" i="20"/>
  <c r="U83" i="20"/>
  <c r="F83" i="20"/>
  <c r="R83" i="20"/>
  <c r="G83" i="20"/>
  <c r="C84" i="20"/>
  <c r="O83" i="20"/>
  <c r="Q140" i="16" l="1" a="1"/>
  <c r="Q140" i="16" s="1"/>
  <c r="Q137" i="16" a="1"/>
  <c r="Q137" i="16" s="1"/>
  <c r="Q125" i="16" a="1"/>
  <c r="Q125" i="16" s="1"/>
  <c r="Q145" i="16" a="1"/>
  <c r="Q145" i="16" s="1"/>
  <c r="Q131" i="16" a="1"/>
  <c r="Q131" i="16" s="1"/>
  <c r="Q130" i="16" a="1"/>
  <c r="Q130" i="16" s="1"/>
  <c r="Q135" i="16" a="1"/>
  <c r="Q135" i="16" s="1"/>
  <c r="Q147" i="16" a="1"/>
  <c r="Q147" i="16" s="1"/>
  <c r="Q146" i="16" a="1"/>
  <c r="Q146" i="16" s="1"/>
  <c r="Q132" i="16" a="1"/>
  <c r="Q132" i="16" s="1"/>
  <c r="Q134" i="16" a="1"/>
  <c r="Q134" i="16" s="1"/>
  <c r="Q141" i="16" a="1"/>
  <c r="Q141" i="16" s="1"/>
  <c r="Q128" i="16" a="1"/>
  <c r="Q128" i="16" s="1"/>
  <c r="Q127" i="16" a="1"/>
  <c r="Q127" i="16" s="1"/>
  <c r="Q136" i="16" a="1"/>
  <c r="Q136" i="16" s="1"/>
  <c r="Q129" i="16" a="1"/>
  <c r="Q129" i="16" s="1"/>
  <c r="Q138" i="16" a="1"/>
  <c r="Q138" i="16" s="1"/>
  <c r="Q142" i="16" a="1"/>
  <c r="Q142" i="16" s="1"/>
  <c r="Q126" i="16" a="1"/>
  <c r="Q126" i="16" s="1"/>
  <c r="Q139" i="16" a="1"/>
  <c r="Q139" i="16" s="1"/>
  <c r="Q143" i="16" a="1"/>
  <c r="Q143" i="16" s="1"/>
  <c r="Q144" i="16" a="1"/>
  <c r="Q144" i="16" s="1"/>
  <c r="Q133" i="16" a="1"/>
  <c r="Q133" i="16" s="1"/>
  <c r="Q488" i="16" a="1"/>
  <c r="Q488" i="16" s="1"/>
  <c r="Q579" i="16" a="1"/>
  <c r="Q579" i="16" s="1"/>
  <c r="P489" i="16"/>
  <c r="P1264" i="14"/>
  <c r="Q1264" i="14" s="1"/>
  <c r="P580" i="16"/>
  <c r="F48" i="20"/>
  <c r="G48" i="20"/>
  <c r="C47" i="20"/>
  <c r="H84" i="20"/>
  <c r="O84" i="20"/>
  <c r="U84" i="20"/>
  <c r="F84" i="20"/>
  <c r="C85" i="20"/>
  <c r="G84" i="20"/>
  <c r="R84" i="20"/>
  <c r="Q119" i="16" l="1" a="1"/>
  <c r="Q119" i="16" s="1"/>
  <c r="Q104" i="16" a="1"/>
  <c r="Q104" i="16" s="1"/>
  <c r="Q124" i="16" a="1"/>
  <c r="Q124" i="16" s="1"/>
  <c r="Q107" i="16" a="1"/>
  <c r="Q107" i="16" s="1"/>
  <c r="Q122" i="16" a="1"/>
  <c r="Q122" i="16" s="1"/>
  <c r="Q111" i="16" a="1"/>
  <c r="Q111" i="16" s="1"/>
  <c r="Q116" i="16" a="1"/>
  <c r="Q116" i="16" s="1"/>
  <c r="Q114" i="16" a="1"/>
  <c r="Q114" i="16" s="1"/>
  <c r="Q121" i="16" a="1"/>
  <c r="Q121" i="16" s="1"/>
  <c r="Q103" i="16" a="1"/>
  <c r="Q103" i="16" s="1"/>
  <c r="Q108" i="16" a="1"/>
  <c r="Q108" i="16" s="1"/>
  <c r="Q123" i="16" a="1"/>
  <c r="Q123" i="16" s="1"/>
  <c r="Q106" i="16" a="1"/>
  <c r="Q106" i="16" s="1"/>
  <c r="Q113" i="16" a="1"/>
  <c r="Q113" i="16" s="1"/>
  <c r="Q120" i="16" a="1"/>
  <c r="Q120" i="16" s="1"/>
  <c r="Q105" i="16" a="1"/>
  <c r="Q105" i="16" s="1"/>
  <c r="Q117" i="16" a="1"/>
  <c r="Q117" i="16" s="1"/>
  <c r="Q110" i="16" a="1"/>
  <c r="Q110" i="16" s="1"/>
  <c r="Q118" i="16" a="1"/>
  <c r="Q118" i="16" s="1"/>
  <c r="Q115" i="16" a="1"/>
  <c r="Q115" i="16" s="1"/>
  <c r="Q109" i="16" a="1"/>
  <c r="Q109" i="16" s="1"/>
  <c r="Q112" i="16" a="1"/>
  <c r="Q112" i="16" s="1"/>
  <c r="Q489" i="16" a="1"/>
  <c r="Q489" i="16" s="1"/>
  <c r="Q580" i="16" a="1"/>
  <c r="Q580" i="16" s="1"/>
  <c r="P490" i="16"/>
  <c r="P1265" i="14"/>
  <c r="Q1265" i="14" s="1"/>
  <c r="P581" i="16"/>
  <c r="F47" i="20"/>
  <c r="C46" i="20"/>
  <c r="G47" i="20"/>
  <c r="H85" i="20"/>
  <c r="G85" i="20"/>
  <c r="C86" i="20"/>
  <c r="U85" i="20"/>
  <c r="O85" i="20"/>
  <c r="F85" i="20"/>
  <c r="R85" i="20"/>
  <c r="Q96" i="16" l="1" a="1"/>
  <c r="Q96" i="16" s="1"/>
  <c r="Q102" i="16" a="1"/>
  <c r="Q102" i="16" s="1"/>
  <c r="Q94" i="16" a="1"/>
  <c r="Q94" i="16" s="1"/>
  <c r="Q101" i="16" a="1"/>
  <c r="Q101" i="16" s="1"/>
  <c r="Q95" i="16" a="1"/>
  <c r="Q95" i="16" s="1"/>
  <c r="Q93" i="16" a="1"/>
  <c r="Q93" i="16" s="1"/>
  <c r="Q97" i="16" a="1"/>
  <c r="Q97" i="16" s="1"/>
  <c r="Q100" i="16" a="1"/>
  <c r="Q100" i="16" s="1"/>
  <c r="Q99" i="16" a="1"/>
  <c r="Q99" i="16" s="1"/>
  <c r="Q92" i="16" a="1"/>
  <c r="Q92" i="16" s="1"/>
  <c r="Q98" i="16" a="1"/>
  <c r="Q98" i="16" s="1"/>
  <c r="Q581" i="16" a="1"/>
  <c r="Q581" i="16" s="1"/>
  <c r="Q490" i="16" a="1"/>
  <c r="Q490" i="16" s="1"/>
  <c r="P491" i="16"/>
  <c r="P1266" i="14"/>
  <c r="Q1266" i="14" s="1"/>
  <c r="P582" i="16"/>
  <c r="C45" i="20"/>
  <c r="F46" i="20"/>
  <c r="G46" i="20"/>
  <c r="H86" i="20"/>
  <c r="C87" i="20"/>
  <c r="U86" i="20"/>
  <c r="R86" i="20"/>
  <c r="G86" i="20"/>
  <c r="O86" i="20"/>
  <c r="F86" i="20"/>
  <c r="Q83" i="16" l="1" a="1"/>
  <c r="Q83" i="16" s="1"/>
  <c r="Q81" i="16" a="1"/>
  <c r="Q81" i="16" s="1"/>
  <c r="Q88" i="16" a="1"/>
  <c r="Q88" i="16" s="1"/>
  <c r="Q90" i="16" a="1"/>
  <c r="Q90" i="16" s="1"/>
  <c r="Q80" i="16" a="1"/>
  <c r="Q80" i="16" s="1"/>
  <c r="Q87" i="16" a="1"/>
  <c r="Q87" i="16" s="1"/>
  <c r="Q82" i="16" a="1"/>
  <c r="Q82" i="16" s="1"/>
  <c r="Q79" i="16" a="1"/>
  <c r="Q79" i="16" s="1"/>
  <c r="Q86" i="16" a="1"/>
  <c r="Q86" i="16" s="1"/>
  <c r="Q84" i="16" a="1"/>
  <c r="Q84" i="16" s="1"/>
  <c r="Q85" i="16" a="1"/>
  <c r="Q85" i="16" s="1"/>
  <c r="Q78" i="16" a="1"/>
  <c r="Q78" i="16" s="1"/>
  <c r="Q89" i="16" a="1"/>
  <c r="Q89" i="16" s="1"/>
  <c r="Q91" i="16" a="1"/>
  <c r="Q91" i="16" s="1"/>
  <c r="Q491" i="16" a="1"/>
  <c r="Q491" i="16" s="1"/>
  <c r="Q582" i="16" a="1"/>
  <c r="Q582" i="16" s="1"/>
  <c r="P492" i="16"/>
  <c r="P1267" i="14"/>
  <c r="Q1267" i="14" s="1"/>
  <c r="P583" i="16"/>
  <c r="C44" i="20"/>
  <c r="F45" i="20"/>
  <c r="G45" i="20"/>
  <c r="H87" i="20"/>
  <c r="R87" i="20"/>
  <c r="O87" i="20"/>
  <c r="C88" i="20"/>
  <c r="U87" i="20"/>
  <c r="G87" i="20"/>
  <c r="F87" i="20"/>
  <c r="Q70" i="16" l="1" a="1"/>
  <c r="Q70" i="16" s="1"/>
  <c r="Q66" i="16" a="1"/>
  <c r="Q66" i="16" s="1"/>
  <c r="Q55" i="16" a="1"/>
  <c r="Q55" i="16" s="1"/>
  <c r="Q63" i="16" a="1"/>
  <c r="Q63" i="16" s="1"/>
  <c r="Q62" i="16" a="1"/>
  <c r="Q62" i="16" s="1"/>
  <c r="Q75" i="16" a="1"/>
  <c r="Q75" i="16" s="1"/>
  <c r="Q57" i="16" a="1"/>
  <c r="Q57" i="16" s="1"/>
  <c r="Q73" i="16" a="1"/>
  <c r="Q73" i="16" s="1"/>
  <c r="Q54" i="16" a="1"/>
  <c r="Q54" i="16" s="1"/>
  <c r="Q67" i="16" a="1"/>
  <c r="Q67" i="16" s="1"/>
  <c r="Q65" i="16" a="1"/>
  <c r="Q65" i="16" s="1"/>
  <c r="Q72" i="16" a="1"/>
  <c r="Q72" i="16" s="1"/>
  <c r="Q61" i="16" a="1"/>
  <c r="Q61" i="16" s="1"/>
  <c r="Q56" i="16" a="1"/>
  <c r="Q56" i="16" s="1"/>
  <c r="Q59" i="16" a="1"/>
  <c r="Q59" i="16" s="1"/>
  <c r="Q76" i="16" a="1"/>
  <c r="Q76" i="16" s="1"/>
  <c r="Q64" i="16" a="1"/>
  <c r="Q64" i="16" s="1"/>
  <c r="Q74" i="16" a="1"/>
  <c r="Q74" i="16" s="1"/>
  <c r="Q68" i="16" a="1"/>
  <c r="Q68" i="16" s="1"/>
  <c r="Q60" i="16" a="1"/>
  <c r="Q60" i="16" s="1"/>
  <c r="Q71" i="16" a="1"/>
  <c r="Q71" i="16" s="1"/>
  <c r="Q77" i="16" a="1"/>
  <c r="Q77" i="16" s="1"/>
  <c r="Q58" i="16" a="1"/>
  <c r="Q58" i="16" s="1"/>
  <c r="Q69" i="16" a="1"/>
  <c r="Q69" i="16" s="1"/>
  <c r="Q583" i="16" a="1"/>
  <c r="Q583" i="16" s="1"/>
  <c r="Q492" i="16" a="1"/>
  <c r="Q492" i="16" s="1"/>
  <c r="P493" i="16"/>
  <c r="P1268" i="14"/>
  <c r="Q1268" i="14" s="1"/>
  <c r="P584" i="16"/>
  <c r="F44" i="20"/>
  <c r="C43" i="20"/>
  <c r="G44" i="20"/>
  <c r="H88" i="20"/>
  <c r="G88" i="20"/>
  <c r="F88" i="20"/>
  <c r="C89" i="20"/>
  <c r="O88" i="20"/>
  <c r="R88" i="20"/>
  <c r="U88" i="20"/>
  <c r="Q50" i="16" l="1" a="1"/>
  <c r="Q50" i="16" s="1"/>
  <c r="Q33" i="16" a="1"/>
  <c r="Q33" i="16" s="1"/>
  <c r="Q48" i="16" a="1"/>
  <c r="Q48" i="16" s="1"/>
  <c r="Q37" i="16" a="1"/>
  <c r="Q37" i="16" s="1"/>
  <c r="Q42" i="16" a="1"/>
  <c r="Q42" i="16" s="1"/>
  <c r="Q40" i="16" a="1"/>
  <c r="Q40" i="16" s="1"/>
  <c r="Q47" i="16" a="1"/>
  <c r="Q47" i="16" s="1"/>
  <c r="Q34" i="16" a="1"/>
  <c r="Q34" i="16" s="1"/>
  <c r="Q49" i="16" a="1"/>
  <c r="Q49" i="16" s="1"/>
  <c r="Q32" i="16" a="1"/>
  <c r="Q32" i="16" s="1"/>
  <c r="Q39" i="16" a="1"/>
  <c r="Q39" i="16" s="1"/>
  <c r="Q46" i="16" a="1"/>
  <c r="Q46" i="16" s="1"/>
  <c r="Q53" i="16" a="1"/>
  <c r="Q53" i="16" s="1"/>
  <c r="Q38" i="16" a="1"/>
  <c r="Q38" i="16" s="1"/>
  <c r="Q52" i="16" a="1"/>
  <c r="Q52" i="16" s="1"/>
  <c r="Q51" i="16" a="1"/>
  <c r="Q51" i="16" s="1"/>
  <c r="Q45" i="16" a="1"/>
  <c r="Q45" i="16" s="1"/>
  <c r="Q35" i="16" a="1"/>
  <c r="Q35" i="16" s="1"/>
  <c r="Q44" i="16" a="1"/>
  <c r="Q44" i="16" s="1"/>
  <c r="Q43" i="16" a="1"/>
  <c r="Q43" i="16" s="1"/>
  <c r="Q36" i="16" a="1"/>
  <c r="Q36" i="16" s="1"/>
  <c r="Q41" i="16" a="1"/>
  <c r="Q41" i="16" s="1"/>
  <c r="Q584" i="16" a="1"/>
  <c r="Q584" i="16" s="1"/>
  <c r="Q493" i="16" a="1"/>
  <c r="Q493" i="16" s="1"/>
  <c r="P494" i="16"/>
  <c r="P1269" i="14"/>
  <c r="Q1269" i="14" s="1"/>
  <c r="P585" i="16"/>
  <c r="C42" i="20"/>
  <c r="F43" i="20"/>
  <c r="G43" i="20"/>
  <c r="H89" i="20"/>
  <c r="C90" i="20"/>
  <c r="R89" i="20"/>
  <c r="G89" i="20"/>
  <c r="U89" i="20"/>
  <c r="F89" i="20"/>
  <c r="O89" i="20"/>
  <c r="Q30" i="16" l="1" a="1"/>
  <c r="Q30" i="16" s="1"/>
  <c r="Q31" i="16" a="1"/>
  <c r="Q31" i="16" s="1"/>
  <c r="Q494" i="16" a="1"/>
  <c r="Q494" i="16" s="1"/>
  <c r="Q585" i="16" a="1"/>
  <c r="Q585" i="16" s="1"/>
  <c r="P495" i="16"/>
  <c r="P1270" i="14"/>
  <c r="Q1270" i="14" s="1"/>
  <c r="P586" i="16"/>
  <c r="C41" i="20"/>
  <c r="G42" i="20"/>
  <c r="F42" i="20"/>
  <c r="H90" i="20"/>
  <c r="O90" i="20"/>
  <c r="U90" i="20"/>
  <c r="R90" i="20"/>
  <c r="F90" i="20"/>
  <c r="C91" i="20"/>
  <c r="G90" i="20"/>
  <c r="Q23" i="16" l="1" a="1"/>
  <c r="Q23" i="16" s="1"/>
  <c r="Q29" i="16" a="1"/>
  <c r="Q29" i="16" s="1"/>
  <c r="Q25" i="16" a="1"/>
  <c r="Q25" i="16" s="1"/>
  <c r="Q28" i="16" a="1"/>
  <c r="Q28" i="16" s="1"/>
  <c r="Q27" i="16" a="1"/>
  <c r="Q27" i="16" s="1"/>
  <c r="Q22" i="16" a="1"/>
  <c r="Q22" i="16" s="1"/>
  <c r="Q24" i="16" a="1"/>
  <c r="Q24" i="16" s="1"/>
  <c r="Q26" i="16" a="1"/>
  <c r="Q26" i="16" s="1"/>
  <c r="Q495" i="16" a="1"/>
  <c r="Q495" i="16" s="1"/>
  <c r="Q586" i="16" a="1"/>
  <c r="Q586" i="16" s="1"/>
  <c r="P496" i="16"/>
  <c r="P1271" i="14"/>
  <c r="Q1271" i="14" s="1"/>
  <c r="P587" i="16"/>
  <c r="C40" i="20"/>
  <c r="G41" i="20"/>
  <c r="F41" i="20"/>
  <c r="H91" i="20"/>
  <c r="F91" i="20"/>
  <c r="R91" i="20"/>
  <c r="G91" i="20"/>
  <c r="O91" i="20"/>
  <c r="U91" i="20"/>
  <c r="C92" i="20"/>
  <c r="Q85" i="14" l="1"/>
  <c r="Q398" i="14"/>
  <c r="Q133" i="14"/>
  <c r="Q794" i="14"/>
  <c r="Q698" i="14"/>
  <c r="Q457" i="14"/>
  <c r="Q131" i="14"/>
  <c r="Q185" i="14"/>
  <c r="Q92" i="14"/>
  <c r="Q735" i="14"/>
  <c r="Q170" i="14"/>
  <c r="Q517" i="14"/>
  <c r="Q674" i="14"/>
  <c r="Q172" i="14"/>
  <c r="Q104" i="14"/>
  <c r="Q527" i="14"/>
  <c r="Q47" i="14"/>
  <c r="Q577" i="14"/>
  <c r="Q265" i="14"/>
  <c r="Q62" i="14"/>
  <c r="Q263" i="14"/>
  <c r="Q105" i="14"/>
  <c r="Q157" i="14"/>
  <c r="Q334" i="14"/>
  <c r="Q91" i="14"/>
  <c r="Q77" i="14"/>
  <c r="Q803" i="14"/>
  <c r="Q637" i="14"/>
  <c r="Q127" i="14"/>
  <c r="Q86" i="14"/>
  <c r="Q171" i="14"/>
  <c r="Q515" i="14"/>
  <c r="Q350" i="14"/>
  <c r="Q384" i="14"/>
  <c r="Q249" i="14"/>
  <c r="Q743" i="14"/>
  <c r="Q647" i="14"/>
  <c r="Q691" i="14"/>
  <c r="Q514" i="14"/>
  <c r="Q28" i="14"/>
  <c r="Q214" i="14"/>
  <c r="Q520" i="14"/>
  <c r="Q408" i="14"/>
  <c r="Q448" i="14"/>
  <c r="Q290" i="14"/>
  <c r="Q778" i="14"/>
  <c r="Q672" i="14"/>
  <c r="Q575" i="14"/>
  <c r="Q694" i="14"/>
  <c r="Q50" i="14"/>
  <c r="Q216" i="14"/>
  <c r="Q530" i="14"/>
  <c r="Q362" i="14"/>
  <c r="Q400" i="14"/>
  <c r="Q256" i="14"/>
  <c r="Q753" i="14"/>
  <c r="Q657" i="14"/>
  <c r="Q560" i="14"/>
  <c r="Q361" i="14"/>
  <c r="Q522" i="14"/>
  <c r="Q177" i="14"/>
  <c r="Q465" i="14"/>
  <c r="Q285" i="14"/>
  <c r="Q340" i="14"/>
  <c r="Q223" i="14"/>
  <c r="Q727" i="14"/>
  <c r="Q630" i="14"/>
  <c r="Q781" i="14"/>
  <c r="Q233" i="14"/>
  <c r="Q138" i="14"/>
  <c r="Q548" i="14"/>
  <c r="Q380" i="14"/>
  <c r="Q621" i="14"/>
  <c r="Q701" i="14"/>
  <c r="Q169" i="14"/>
  <c r="Q780" i="14"/>
  <c r="Q111" i="14"/>
  <c r="Q632" i="14"/>
  <c r="Q234" i="14"/>
  <c r="Q502" i="14"/>
  <c r="Q118" i="14"/>
  <c r="Q287" i="14"/>
  <c r="Q217" i="14"/>
  <c r="Q352" i="14"/>
  <c r="Q588" i="14"/>
  <c r="Q479" i="14"/>
  <c r="Q79" i="14"/>
  <c r="Q455" i="14"/>
  <c r="Q117" i="14"/>
  <c r="Q193" i="14"/>
  <c r="Q445" i="14"/>
  <c r="Q33" i="14"/>
  <c r="Q43" i="14"/>
  <c r="Q32" i="14"/>
  <c r="Q562" i="14"/>
  <c r="Q573" i="14"/>
  <c r="Q124" i="14"/>
  <c r="Q107" i="14"/>
  <c r="Q752" i="14"/>
  <c r="Q812" i="14"/>
  <c r="Q412" i="14"/>
  <c r="Q136" i="14"/>
  <c r="Q187" i="14"/>
  <c r="Q495" i="14"/>
  <c r="Q318" i="14"/>
  <c r="Q367" i="14"/>
  <c r="Q239" i="14"/>
  <c r="Q730" i="14"/>
  <c r="Q634" i="14"/>
  <c r="Q152" i="14"/>
  <c r="Q744" i="14"/>
  <c r="Q48" i="14"/>
  <c r="Q158" i="14"/>
  <c r="Q553" i="14"/>
  <c r="Q387" i="14"/>
  <c r="Q427" i="14"/>
  <c r="Q273" i="14"/>
  <c r="Q767" i="14"/>
  <c r="Q660" i="14"/>
  <c r="Q563" i="14"/>
  <c r="Q599" i="14"/>
  <c r="Q80" i="14"/>
  <c r="Q129" i="14"/>
  <c r="Q511" i="14"/>
  <c r="Q345" i="14"/>
  <c r="Q379" i="14"/>
  <c r="Q246" i="14"/>
  <c r="Q738" i="14"/>
  <c r="Q641" i="14"/>
  <c r="Q690" i="14"/>
  <c r="Q683" i="14"/>
  <c r="Q762" i="14"/>
  <c r="Q197" i="14"/>
  <c r="Q447" i="14"/>
  <c r="Q494" i="14"/>
  <c r="Q321" i="14"/>
  <c r="Q811" i="14"/>
  <c r="Q715" i="14"/>
  <c r="Q614" i="14"/>
  <c r="Q770" i="14"/>
  <c r="Q627" i="14"/>
  <c r="Q166" i="14"/>
  <c r="Q524" i="14"/>
  <c r="Q358" i="14"/>
  <c r="Q215" i="14"/>
  <c r="Q212" i="14"/>
  <c r="Q537" i="14"/>
  <c r="Q771" i="14"/>
  <c r="Q682" i="14"/>
  <c r="Q799" i="14"/>
  <c r="Q25" i="14"/>
  <c r="Q435" i="14"/>
  <c r="Q635" i="14"/>
  <c r="Q526" i="14"/>
  <c r="Q207" i="14"/>
  <c r="Q480" i="14"/>
  <c r="Q544" i="14"/>
  <c r="Q654" i="14"/>
  <c r="Q190" i="14"/>
  <c r="Q298" i="14"/>
  <c r="Q49" i="14"/>
  <c r="Q254" i="14"/>
  <c r="Q748" i="14"/>
  <c r="Q24" i="14"/>
  <c r="Q46" i="14"/>
  <c r="Q52" i="14"/>
  <c r="Q610" i="14"/>
  <c r="Q492" i="14"/>
  <c r="Q497" i="14"/>
  <c r="Q34" i="14"/>
  <c r="Q211" i="14"/>
  <c r="Q364" i="14"/>
  <c r="Q31" i="14"/>
  <c r="Q130" i="14"/>
  <c r="Q209" i="14"/>
  <c r="Q475" i="14"/>
  <c r="Q295" i="14"/>
  <c r="Q346" i="14"/>
  <c r="Q227" i="14"/>
  <c r="Q719" i="14"/>
  <c r="Q619" i="14"/>
  <c r="Q137" i="14"/>
  <c r="Q655" i="14"/>
  <c r="Q78" i="14"/>
  <c r="Q121" i="14"/>
  <c r="Q532" i="14"/>
  <c r="Q366" i="14"/>
  <c r="Q404" i="14"/>
  <c r="Q257" i="14"/>
  <c r="Q755" i="14"/>
  <c r="Q646" i="14"/>
  <c r="Q754" i="14"/>
  <c r="Q87" i="14"/>
  <c r="Q96" i="14"/>
  <c r="Q175" i="14"/>
  <c r="Q489" i="14"/>
  <c r="Q310" i="14"/>
  <c r="Q363" i="14"/>
  <c r="Q237" i="14"/>
  <c r="Q728" i="14"/>
  <c r="Q631" i="14"/>
  <c r="Q790" i="14"/>
  <c r="Q535" i="14"/>
  <c r="Q188" i="14"/>
  <c r="Q538" i="14"/>
  <c r="Q420" i="14"/>
  <c r="Q468" i="14"/>
  <c r="Q301" i="14"/>
  <c r="Q801" i="14"/>
  <c r="Q704" i="14"/>
  <c r="Q604" i="14"/>
  <c r="Q786" i="14"/>
  <c r="Q626" i="14"/>
  <c r="Q200" i="14"/>
  <c r="Q505" i="14"/>
  <c r="Q335" i="14"/>
  <c r="Q322" i="14"/>
  <c r="Q556" i="14"/>
  <c r="Q320" i="14"/>
  <c r="Q758" i="14"/>
  <c r="Q598" i="14"/>
  <c r="Q351" i="14"/>
  <c r="Q232" i="14"/>
  <c r="Q222" i="14"/>
  <c r="Q472" i="14"/>
  <c r="Q765" i="14"/>
  <c r="Q126" i="14"/>
  <c r="Q369" i="14"/>
  <c r="Q663" i="14"/>
  <c r="Q509" i="14"/>
  <c r="Q229" i="14"/>
  <c r="Q386" i="14"/>
  <c r="Q51" i="14"/>
  <c r="Q714" i="14"/>
  <c r="Q300" i="14"/>
  <c r="Q549" i="14"/>
  <c r="Q45" i="14"/>
  <c r="Q82" i="14"/>
  <c r="Q521" i="14"/>
  <c r="Q723" i="14"/>
  <c r="Q372" i="14"/>
  <c r="Q54" i="14"/>
  <c r="Q746" i="14"/>
  <c r="Q595" i="14"/>
  <c r="Q59" i="14"/>
  <c r="Q144" i="14"/>
  <c r="Q140" i="14"/>
  <c r="Q453" i="14"/>
  <c r="Q220" i="14"/>
  <c r="Q327" i="14"/>
  <c r="Q809" i="14"/>
  <c r="Q708" i="14"/>
  <c r="Q608" i="14"/>
  <c r="Q73" i="14"/>
  <c r="Q151" i="14"/>
  <c r="Q94" i="14"/>
  <c r="Q173" i="14"/>
  <c r="Q513" i="14"/>
  <c r="Q348" i="14"/>
  <c r="Q382" i="14"/>
  <c r="Q247" i="14"/>
  <c r="Q742" i="14"/>
  <c r="Q633" i="14"/>
  <c r="Q493" i="14"/>
  <c r="Q134" i="14"/>
  <c r="Q155" i="14"/>
  <c r="Q191" i="14"/>
  <c r="Q469" i="14"/>
  <c r="Q291" i="14"/>
  <c r="Q342" i="14"/>
  <c r="Q225" i="14"/>
  <c r="Q716" i="14"/>
  <c r="Q615" i="14"/>
  <c r="Q806" i="14"/>
  <c r="Q23" i="14"/>
  <c r="Q370" i="14"/>
  <c r="Q512" i="14"/>
  <c r="Q401" i="14"/>
  <c r="Q444" i="14"/>
  <c r="Q286" i="14"/>
  <c r="Q789" i="14"/>
  <c r="Q693" i="14"/>
  <c r="Q593" i="14"/>
  <c r="Q804" i="14"/>
  <c r="Q471" i="14"/>
  <c r="Q161" i="14"/>
  <c r="Q486" i="14"/>
  <c r="Q306" i="14"/>
  <c r="Q357" i="14"/>
  <c r="Q235" i="14"/>
  <c r="Q726" i="14"/>
  <c r="Q624" i="14"/>
  <c r="Q625" i="14"/>
  <c r="Q642" i="14"/>
  <c r="Q132" i="14"/>
  <c r="Q534" i="14"/>
  <c r="Q416" i="14"/>
  <c r="Q464" i="14"/>
  <c r="Q297" i="14"/>
  <c r="Q784" i="14"/>
  <c r="Q687" i="14"/>
  <c r="Q60" i="14"/>
  <c r="Q787" i="14"/>
  <c r="Q431" i="14"/>
  <c r="Q745" i="14"/>
  <c r="Q202" i="14"/>
  <c r="Q590" i="14"/>
  <c r="Q165" i="14"/>
  <c r="Q347" i="14"/>
  <c r="Q602" i="14"/>
  <c r="Q317" i="14"/>
  <c r="Q37" i="14"/>
  <c r="Q276" i="14"/>
  <c r="Q338" i="14"/>
  <c r="Q684" i="14"/>
  <c r="Q113" i="14"/>
  <c r="Q294" i="14"/>
  <c r="Q71" i="14"/>
  <c r="Q329" i="14"/>
  <c r="Q531" i="14"/>
  <c r="Q481" i="14"/>
  <c r="Q99" i="14"/>
  <c r="Q100" i="14"/>
  <c r="Q760" i="14"/>
  <c r="Q271" i="14"/>
  <c r="Q411" i="14"/>
  <c r="Q84" i="14"/>
  <c r="Q713" i="14"/>
  <c r="Q153" i="14"/>
  <c r="Q81" i="14"/>
  <c r="Q141" i="14"/>
  <c r="Q546" i="14"/>
  <c r="Q430" i="14"/>
  <c r="Q478" i="14"/>
  <c r="Q309" i="14"/>
  <c r="Q793" i="14"/>
  <c r="Q697" i="14"/>
  <c r="Q597" i="14"/>
  <c r="Q570" i="14"/>
  <c r="Q198" i="14"/>
  <c r="Q139" i="14"/>
  <c r="Q189" i="14"/>
  <c r="Q491" i="14"/>
  <c r="Q316" i="14"/>
  <c r="Q365" i="14"/>
  <c r="Q238" i="14"/>
  <c r="Q729" i="14"/>
  <c r="Q616" i="14"/>
  <c r="Q739" i="14"/>
  <c r="Q29" i="14"/>
  <c r="Q159" i="14"/>
  <c r="Q156" i="14"/>
  <c r="Q449" i="14"/>
  <c r="Q496" i="14"/>
  <c r="Q323" i="14"/>
  <c r="Q805" i="14"/>
  <c r="Q706" i="14"/>
  <c r="Q605" i="14"/>
  <c r="Q474" i="14"/>
  <c r="Q70" i="14"/>
  <c r="Q135" i="14"/>
  <c r="Q550" i="14"/>
  <c r="Q383" i="14"/>
  <c r="Q423" i="14"/>
  <c r="Q268" i="14"/>
  <c r="Q775" i="14"/>
  <c r="Q678" i="14"/>
  <c r="Q583" i="14"/>
  <c r="Q456" i="14"/>
  <c r="Q582" i="14"/>
  <c r="Q179" i="14"/>
  <c r="Q463" i="14"/>
  <c r="Q585" i="14"/>
  <c r="Q339" i="14"/>
  <c r="Q311" i="14"/>
  <c r="Q732" i="14"/>
  <c r="Q667" i="14"/>
  <c r="Q381" i="14"/>
  <c r="Q39" i="14"/>
  <c r="Q250" i="14"/>
  <c r="Q649" i="14"/>
  <c r="Q428" i="14"/>
  <c r="Q128" i="14"/>
  <c r="Q65" i="14"/>
  <c r="Q777" i="14"/>
  <c r="Q76" i="14"/>
  <c r="Q116" i="14"/>
  <c r="Q41" i="14"/>
  <c r="Q103" i="14"/>
  <c r="Q568" i="14"/>
  <c r="Q259" i="14"/>
  <c r="Q391" i="14"/>
  <c r="Q53" i="14"/>
  <c r="Q61" i="14"/>
  <c r="Q312" i="14"/>
  <c r="Q106" i="14"/>
  <c r="Q228" i="14"/>
  <c r="Q102" i="14"/>
  <c r="Q440" i="14"/>
  <c r="Q143" i="14"/>
  <c r="Q109" i="14"/>
  <c r="Q182" i="14"/>
  <c r="Q525" i="14"/>
  <c r="Q410" i="14"/>
  <c r="Q452" i="14"/>
  <c r="Q292" i="14"/>
  <c r="Q779" i="14"/>
  <c r="Q681" i="14"/>
  <c r="Q587" i="14"/>
  <c r="Q795" i="14"/>
  <c r="Q93" i="14"/>
  <c r="Q146" i="14"/>
  <c r="Q213" i="14"/>
  <c r="Q473" i="14"/>
  <c r="Q293" i="14"/>
  <c r="Q344" i="14"/>
  <c r="Q226" i="14"/>
  <c r="Q717" i="14"/>
  <c r="Q606" i="14"/>
  <c r="Q432" i="14"/>
  <c r="Q324" i="14"/>
  <c r="Q122" i="14"/>
  <c r="Q540" i="14"/>
  <c r="Q422" i="14"/>
  <c r="Q470" i="14"/>
  <c r="Q303" i="14"/>
  <c r="Q791" i="14"/>
  <c r="Q695" i="14"/>
  <c r="Q594" i="14"/>
  <c r="Q731" i="14"/>
  <c r="Q692" i="14"/>
  <c r="Q164" i="14"/>
  <c r="Q528" i="14"/>
  <c r="Q360" i="14"/>
  <c r="Q396" i="14"/>
  <c r="Q376" i="14"/>
  <c r="Q89" i="14"/>
  <c r="Q241" i="14"/>
  <c r="Q720" i="14"/>
  <c r="Q516" i="14"/>
  <c r="Q620" i="14"/>
  <c r="Q72" i="14"/>
  <c r="Q115" i="14"/>
  <c r="Q258" i="14"/>
  <c r="Q659" i="14"/>
  <c r="Q142" i="14"/>
  <c r="Q69" i="14"/>
  <c r="Q393" i="14"/>
  <c r="Q403" i="14"/>
  <c r="Q123" i="14"/>
  <c r="Q95" i="14"/>
  <c r="Q119" i="14"/>
  <c r="Q415" i="14"/>
  <c r="Q42" i="14"/>
  <c r="Q458" i="14"/>
  <c r="Q55" i="14"/>
  <c r="Q609" i="14"/>
  <c r="Q543" i="14"/>
  <c r="Q168" i="14"/>
  <c r="Q27" i="14"/>
  <c r="Q648" i="14"/>
  <c r="Q671" i="14"/>
  <c r="Q63" i="14"/>
  <c r="Q36" i="14"/>
  <c r="Q210" i="14"/>
  <c r="Q501" i="14"/>
  <c r="Q389" i="14"/>
  <c r="Q429" i="14"/>
  <c r="Q274" i="14"/>
  <c r="Q768" i="14"/>
  <c r="Q673" i="14"/>
  <c r="Q576" i="14"/>
  <c r="Q450" i="14"/>
  <c r="Q388" i="14"/>
  <c r="Q149" i="14"/>
  <c r="Q148" i="14"/>
  <c r="Q451" i="14"/>
  <c r="Q498" i="14"/>
  <c r="Q325" i="14"/>
  <c r="Q807" i="14"/>
  <c r="Q707" i="14"/>
  <c r="Q596" i="14"/>
  <c r="Q769" i="14"/>
  <c r="Q83" i="14"/>
  <c r="Q162" i="14"/>
  <c r="Q518" i="14"/>
  <c r="Q405" i="14"/>
  <c r="Q446" i="14"/>
  <c r="Q288" i="14"/>
  <c r="Q776" i="14"/>
  <c r="Q679" i="14"/>
  <c r="Q584" i="14"/>
  <c r="Q409" i="14"/>
  <c r="Q260" i="14"/>
  <c r="Q194" i="14"/>
  <c r="Q507" i="14"/>
  <c r="Q341" i="14"/>
  <c r="Q377" i="14"/>
  <c r="Q245" i="14"/>
  <c r="Q751" i="14"/>
  <c r="Q653" i="14"/>
  <c r="Q559" i="14"/>
  <c r="Q281" i="14"/>
  <c r="Q644" i="14"/>
  <c r="Q536" i="14"/>
  <c r="Q418" i="14"/>
  <c r="Q466" i="14"/>
  <c r="Q299" i="14"/>
  <c r="Q788" i="14"/>
  <c r="Q688" i="14"/>
  <c r="Q592" i="14"/>
  <c r="Q741" i="14"/>
  <c r="Q441" i="14"/>
  <c r="Q204" i="14"/>
  <c r="Q523" i="14"/>
  <c r="Q356" i="14"/>
  <c r="Q392" i="14"/>
  <c r="Q252" i="14"/>
  <c r="Q749" i="14"/>
  <c r="Q651" i="14"/>
  <c r="Q607" i="14"/>
  <c r="Q504" i="14"/>
  <c r="Q662" i="14"/>
  <c r="Q57" i="14"/>
  <c r="Q406" i="14"/>
  <c r="Q542" i="14"/>
  <c r="Q30" i="14"/>
  <c r="Q574" i="14"/>
  <c r="Q236" i="14"/>
  <c r="Q705" i="14"/>
  <c r="Q487" i="14"/>
  <c r="Q267" i="14"/>
  <c r="Q736" i="14"/>
  <c r="Q603" i="14"/>
  <c r="Q305" i="14"/>
  <c r="Q628" i="14"/>
  <c r="Q545" i="14"/>
  <c r="Q304" i="14"/>
  <c r="Q315" i="14"/>
  <c r="Q761" i="14"/>
  <c r="Q623" i="14"/>
  <c r="Q434" i="14"/>
  <c r="Q112" i="14"/>
  <c r="Q580" i="14"/>
  <c r="Q125" i="14"/>
  <c r="Q506" i="14"/>
  <c r="Q395" i="14"/>
  <c r="Q433" i="14"/>
  <c r="Q278" i="14"/>
  <c r="Q759" i="14"/>
  <c r="Q664" i="14"/>
  <c r="Q567" i="14"/>
  <c r="Q702" i="14"/>
  <c r="Q314" i="14"/>
  <c r="Q44" i="14"/>
  <c r="Q195" i="14"/>
  <c r="Q718" i="14"/>
  <c r="Q566" i="14"/>
  <c r="Q261" i="14"/>
  <c r="Q424" i="14"/>
  <c r="Q186" i="14"/>
  <c r="Q721" i="14"/>
  <c r="Q764" i="14"/>
  <c r="Q477" i="14"/>
  <c r="Q438" i="14"/>
  <c r="Q253" i="14"/>
  <c r="Q712" i="14"/>
  <c r="Q581" i="14"/>
  <c r="Q656" i="14"/>
  <c r="Q108" i="14"/>
  <c r="Q503" i="14"/>
  <c r="Q277" i="14"/>
  <c r="Q280" i="14"/>
  <c r="Q734" i="14"/>
  <c r="Q612" i="14"/>
  <c r="Q547" i="14"/>
  <c r="Q629" i="14"/>
  <c r="Q68" i="14"/>
  <c r="Q176" i="14"/>
  <c r="Q541" i="14"/>
  <c r="Q374" i="14"/>
  <c r="Q417" i="14"/>
  <c r="Q264" i="14"/>
  <c r="Q747" i="14"/>
  <c r="Q650" i="14"/>
  <c r="Q22" i="14"/>
  <c r="Q178" i="14"/>
  <c r="Q98" i="14"/>
  <c r="Q810" i="14"/>
  <c r="Q205" i="14"/>
  <c r="Q40" i="14"/>
  <c r="Q462" i="14"/>
  <c r="Q757" i="14"/>
  <c r="Q476" i="14"/>
  <c r="Q551" i="14"/>
  <c r="Q658" i="14"/>
  <c r="Q737" i="14"/>
  <c r="Q196" i="14"/>
  <c r="Q421" i="14"/>
  <c r="Q244" i="14"/>
  <c r="Q703" i="14"/>
  <c r="Q571" i="14"/>
  <c r="Q240" i="14"/>
  <c r="Q174" i="14"/>
  <c r="Q485" i="14"/>
  <c r="Q484" i="14"/>
  <c r="Q266" i="14"/>
  <c r="Q724" i="14"/>
  <c r="Q601" i="14"/>
  <c r="Q725" i="14"/>
  <c r="Q64" i="14"/>
  <c r="Q38" i="14"/>
  <c r="Q206" i="14"/>
  <c r="Q519" i="14"/>
  <c r="Q354" i="14"/>
  <c r="Q390" i="14"/>
  <c r="Q251" i="14"/>
  <c r="Q733" i="14"/>
  <c r="Q636" i="14"/>
  <c r="Q97" i="14"/>
  <c r="Q689" i="14"/>
  <c r="Q279" i="14"/>
  <c r="Q709" i="14"/>
  <c r="Q35" i="14"/>
  <c r="Q328" i="14"/>
  <c r="Q90" i="14"/>
  <c r="Q661" i="14"/>
  <c r="Q307" i="14"/>
  <c r="Q385" i="14"/>
  <c r="Q145" i="14"/>
  <c r="Q669" i="14"/>
  <c r="Q199" i="14"/>
  <c r="Q394" i="14"/>
  <c r="Q219" i="14"/>
  <c r="Q677" i="14"/>
  <c r="Q558" i="14"/>
  <c r="Q192" i="14"/>
  <c r="Q163" i="14"/>
  <c r="Q461" i="14"/>
  <c r="Q436" i="14"/>
  <c r="Q243" i="14"/>
  <c r="Q711" i="14"/>
  <c r="Q591" i="14"/>
  <c r="Q289" i="14"/>
  <c r="Q337" i="14"/>
  <c r="Q58" i="14"/>
  <c r="Q167" i="14"/>
  <c r="Q500" i="14"/>
  <c r="Q331" i="14"/>
  <c r="Q371" i="14"/>
  <c r="Q242" i="14"/>
  <c r="Q722" i="14"/>
  <c r="Q622" i="14"/>
  <c r="Q224" i="14"/>
  <c r="Q154" i="14"/>
  <c r="Q262" i="14"/>
  <c r="Q442" i="14"/>
  <c r="Q696" i="14"/>
  <c r="Q75" i="14"/>
  <c r="Q56" i="14"/>
  <c r="Q565" i="14"/>
  <c r="Q792" i="14"/>
  <c r="Q425" i="14"/>
  <c r="Q488" i="14"/>
  <c r="Q640" i="14"/>
  <c r="Q510" i="14"/>
  <c r="Q375" i="14"/>
  <c r="Q800" i="14"/>
  <c r="Q668" i="14"/>
  <c r="Q686" i="14"/>
  <c r="Q499" i="14"/>
  <c r="Q181" i="14"/>
  <c r="Q439" i="14"/>
  <c r="Q419" i="14"/>
  <c r="Q231" i="14"/>
  <c r="Q700" i="14"/>
  <c r="Q579" i="14"/>
  <c r="Q114" i="14"/>
  <c r="Q272" i="14"/>
  <c r="Q88" i="14"/>
  <c r="Q183" i="14"/>
  <c r="Q483" i="14"/>
  <c r="Q302" i="14"/>
  <c r="Q353" i="14"/>
  <c r="Q230" i="14"/>
  <c r="Q710" i="14"/>
  <c r="Q611" i="14"/>
  <c r="Q797" i="14"/>
  <c r="Q555" i="14"/>
  <c r="Q221" i="14"/>
  <c r="Q467" i="14"/>
  <c r="Q67" i="14"/>
  <c r="Q539" i="14"/>
  <c r="Q150" i="14"/>
  <c r="Q785" i="14"/>
  <c r="Q680" i="14"/>
  <c r="Q269" i="14"/>
  <c r="Q308" i="14"/>
  <c r="Q572" i="14"/>
  <c r="Q443" i="14"/>
  <c r="Q336" i="14"/>
  <c r="Q774" i="14"/>
  <c r="Q652" i="14"/>
  <c r="Q618" i="14"/>
  <c r="Q407" i="14"/>
  <c r="Q201" i="14"/>
  <c r="Q397" i="14"/>
  <c r="Q373" i="14"/>
  <c r="Q218" i="14"/>
  <c r="Q676" i="14"/>
  <c r="Q569" i="14"/>
  <c r="Q740" i="14"/>
  <c r="Q343" i="14"/>
  <c r="Q110" i="14"/>
  <c r="Q203" i="14"/>
  <c r="Q459" i="14"/>
  <c r="Q270" i="14"/>
  <c r="Q330" i="14"/>
  <c r="Q796" i="14"/>
  <c r="Q699" i="14"/>
  <c r="Q600" i="14"/>
  <c r="Q561" i="14"/>
  <c r="Q66" i="14"/>
  <c r="Q564" i="14"/>
  <c r="Q208" i="14"/>
  <c r="Q180" i="14"/>
  <c r="Q782" i="14"/>
  <c r="Q533" i="14"/>
  <c r="Q147" i="14"/>
  <c r="Q586" i="14"/>
  <c r="Q766" i="14"/>
  <c r="Q359" i="14"/>
  <c r="Q802" i="14"/>
  <c r="Q399" i="14"/>
  <c r="Q319" i="14"/>
  <c r="Q763" i="14"/>
  <c r="Q639" i="14"/>
  <c r="Q643" i="14"/>
  <c r="Q454" i="14"/>
  <c r="Q554" i="14"/>
  <c r="Q378" i="14"/>
  <c r="Q355" i="14"/>
  <c r="Q798" i="14"/>
  <c r="Q665" i="14"/>
  <c r="Q557" i="14"/>
  <c r="Q282" i="14"/>
  <c r="Q326" i="14"/>
  <c r="Q120" i="14"/>
  <c r="Q552" i="14"/>
  <c r="Q437" i="14"/>
  <c r="Q482" i="14"/>
  <c r="Q313" i="14"/>
  <c r="Q783" i="14"/>
  <c r="Q685" i="14"/>
  <c r="Q589" i="14"/>
  <c r="Q426" i="14"/>
  <c r="Q617" i="14"/>
  <c r="Q275" i="14"/>
  <c r="Q26" i="14"/>
  <c r="Q666" i="14"/>
  <c r="Q333" i="14"/>
  <c r="Q529" i="14"/>
  <c r="Q808" i="14"/>
  <c r="Q74" i="14"/>
  <c r="Q283" i="14"/>
  <c r="Q332" i="14"/>
  <c r="Q414" i="14"/>
  <c r="Q101" i="14"/>
  <c r="Q284" i="14"/>
  <c r="Q773" i="14"/>
  <c r="Q460" i="14"/>
  <c r="Q368" i="14"/>
  <c r="Q750" i="14"/>
  <c r="Q638" i="14"/>
  <c r="Q296" i="14"/>
  <c r="Q184" i="14"/>
  <c r="Q613" i="14"/>
  <c r="Q490" i="14"/>
  <c r="Q772" i="14"/>
  <c r="Q402" i="14"/>
  <c r="Q756" i="14"/>
  <c r="Q645" i="14"/>
  <c r="Q675" i="14"/>
  <c r="Q670" i="14"/>
  <c r="Q413" i="14"/>
  <c r="Q349" i="14"/>
  <c r="Q578" i="14"/>
  <c r="Q255" i="14"/>
  <c r="Q508" i="14"/>
  <c r="Q160" i="14"/>
  <c r="Q248"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tc={A8D952BA-0032-4902-B64B-81911BC3DDAC}</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A8D952BA-0032-4902-B64B-81911BC3DDAC}">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<sst xmlns="http://schemas.openxmlformats.org/spreadsheetml/2006/main" count="5704" uniqueCount="978">
  <si>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</si>
  <si>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</si>
  <si>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</si>
  <si>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</si>
  <si>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</si>
  <si>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</si>
  <si>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</si>
  <si>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</si>
  <si>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</si>
  <si>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</si>
  <si>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</si>
  <si>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</si>
  <si>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</si>
  <si>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</si>
  <si>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</si>
  <si>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</si>
  <si>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</si>
  <si>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</si>
  <si>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</si>
  <si>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</si>
  <si>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</si>
  <si>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</si>
  <si>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</si>
  <si>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</si>
  <si>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</si>
  <si>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</si>
  <si>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</si>
  <si>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</si>
  <si>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</si>
  <si>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</si>
  <si>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</si>
  <si>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</si>
  <si>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</si>
  <si>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</si>
  <si>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</si>
  <si>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</si>
  <si>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</si>
  <si>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</si>
  <si>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</si>
  <si>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</si>
  <si>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</si>
  <si>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</si>
  <si>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</si>
  <si>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</si>
  <si>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</si>
  <si>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</si>
  <si>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</si>
  <si>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</si>
  <si>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</si>
  <si>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</si>
  <si>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</si>
  <si>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</si>
  <si>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</si>
  <si>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</si>
  <si>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</si>
  <si>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</si>
  <si>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</si>
  <si>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</si>
  <si>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</si>
  <si>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</si>
  <si>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</si>
  <si>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</si>
  <si>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</si>
  <si>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</si>
  <si>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</si>
  <si>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</si>
  <si>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</si>
  <si>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</si>
  <si>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</si>
  <si>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</si>
  <si>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</si>
  <si>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</si>
  <si>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</si>
  <si>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</si>
  <si>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</si>
  <si>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</si>
  <si>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</si>
  <si>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</si>
  <si>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</si>
  <si>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</si>
  <si>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</si>
  <si>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</si>
  <si>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</si>
  <si>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</si>
  <si>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</si>
  <si>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</si>
  <si>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</si>
  <si>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</si>
  <si>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</si>
  <si>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</si>
  <si>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</si>
  <si>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</si>
  <si>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</si>
  <si>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</si>
  <si>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</si>
  <si>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</si>
  <si>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</si>
  <si>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</si>
  <si>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</si>
  <si>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</si>
  <si>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</si>
  <si>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</si>
  <si>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</si>
  <si>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</si>
  <si>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</si>
  <si>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</si>
  <si>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</si>
  <si>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</si>
  <si>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</si>
  <si>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</si>
  <si>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</si>
  <si>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</si>
  <si>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</si>
  <si>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</si>
  <si>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</si>
  <si>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</si>
  <si>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</si>
  <si>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</si>
  <si>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</si>
  <si>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</si>
  <si>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</si>
  <si>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</si>
  <si>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</si>
  <si>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</si>
  <si>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</si>
  <si>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</si>
  <si>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</si>
  <si>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</si>
  <si>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</si>
  <si>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</si>
  <si>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</si>
  <si>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</si>
  <si>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</si>
  <si>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</si>
  <si>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</si>
  <si>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</si>
  <si>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</si>
  <si>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</si>
  <si>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</si>
  <si>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</si>
  <si>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</si>
  <si>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</si>
  <si>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</si>
  <si>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</si>
  <si>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</si>
  <si>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</si>
  <si>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</si>
  <si>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</si>
  <si>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</si>
  <si>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</si>
  <si>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</si>
  <si>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</si>
  <si>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</si>
  <si>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</si>
  <si>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</si>
  <si>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</si>
  <si>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</si>
  <si>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</si>
  <si>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</si>
  <si>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</si>
  <si>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</si>
  <si>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</si>
  <si>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</si>
  <si>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</si>
  <si>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</si>
  <si>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</si>
  <si>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</si>
  <si>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</si>
  <si>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</si>
  <si>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</si>
  <si>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</si>
  <si>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</si>
  <si>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</si>
  <si>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</si>
  <si>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</si>
  <si>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</si>
  <si>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</si>
  <si>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</si>
  <si>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</si>
  <si>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</si>
  <si>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</si>
  <si>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</si>
  <si>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</si>
  <si>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</si>
  <si>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</si>
  <si>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</si>
  <si>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</si>
  <si>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</si>
  <si>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</si>
  <si>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</si>
  <si>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</si>
  <si>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</si>
  <si>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</si>
  <si>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</si>
  <si>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</si>
  <si>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</si>
  <si>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</si>
  <si>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</si>
  <si>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</si>
  <si>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</si>
  <si>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</si>
  <si>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</si>
  <si>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</si>
  <si>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</si>
  <si>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</si>
  <si>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</si>
  <si>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</si>
  <si>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</si>
  <si>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</si>
  <si>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</si>
  <si>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</si>
  <si>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</si>
  <si>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</si>
  <si>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</si>
  <si>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</si>
  <si>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</si>
  <si>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</si>
  <si>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</si>
  <si>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</si>
  <si>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</si>
  <si>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</si>
  <si>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</si>
  <si>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</si>
  <si>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</si>
  <si>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</si>
  <si>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</si>
  <si>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</si>
  <si>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</si>
  <si>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</si>
  <si>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</si>
  <si>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</si>
  <si>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</si>
  <si>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</si>
  <si>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</si>
  <si>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</si>
  <si>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</si>
  <si>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</si>
  <si>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</si>
  <si>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</si>
  <si>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</si>
  <si>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</si>
  <si>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</si>
  <si>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</si>
  <si>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</si>
  <si>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</si>
  <si>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</si>
  <si>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</si>
  <si>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</si>
  <si>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</si>
  <si>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</si>
  <si>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</si>
  <si>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</si>
  <si>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</si>
  <si>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</si>
  <si>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</si>
  <si>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</si>
  <si>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</si>
  <si>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</si>
  <si>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</si>
  <si>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</si>
  <si>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</si>
  <si>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</si>
  <si>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</si>
  <si>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</si>
  <si>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</si>
  <si>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</si>
  <si>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</si>
  <si>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</si>
  <si>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</si>
  <si>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</si>
  <si>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</si>
  <si>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</si>
  <si>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</si>
  <si>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</si>
  <si>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</si>
  <si>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</si>
  <si>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</si>
  <si>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</si>
  <si>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</si>
  <si>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Burwood Beach</t>
  </si>
  <si>
    <t>S.4</t>
  </si>
  <si>
    <t>Gravity Linear Asset in Burwood Beach DSP Area - 300mm</t>
  </si>
  <si>
    <t>Gravity Linear Asset in Burwood Beach DSP Area - 400mm</t>
  </si>
  <si>
    <t>Gravity Linear Asset in Burwood Beach DSP Area - 225mm</t>
  </si>
  <si>
    <t>Gravity Linear Asset in Burwood Beach DSP Area - 150mm</t>
  </si>
  <si>
    <t>Rising Linear Asset in Burwood Beach DSP Area - 500mm</t>
  </si>
  <si>
    <t>Rising Linear Asset in Burwood Beach DSP Area - 150mm</t>
  </si>
  <si>
    <t>Gravity Linear Asset in Burwood Beach DSP Area - 375mm</t>
  </si>
  <si>
    <t>Gravity Linear Asset in Burwood Beach DSP Area - 200mm</t>
  </si>
  <si>
    <t>DUDLEY 5 SPS-CIVIL</t>
  </si>
  <si>
    <t>DUDLEY 5 SPS-ELECTRICAL</t>
  </si>
  <si>
    <t>DUDLEY 5 SPS-MECH</t>
  </si>
  <si>
    <t>Rising Linear Asset in Burwood Beach DSP Area - 300mm</t>
  </si>
  <si>
    <t>Gravity Linear Asset in Burwood Beach DSP Area - 450mm</t>
  </si>
  <si>
    <t>Gravity Linear Asset in Burwood Beach DSP Area - 525mm</t>
  </si>
  <si>
    <t>Rising Linear Asset in Burwood Beach DSP Area - 100mm</t>
  </si>
  <si>
    <t>MARYVILLE 1 SPS - ELECTRICAL</t>
  </si>
  <si>
    <t>MARYVILLE 2 SPS - ELECTRICAL</t>
  </si>
  <si>
    <t>NEWCASTLE 10 JESMOND ELECTRICAL</t>
  </si>
  <si>
    <t>TIGHES HILL 1 SPS - ELECTRICAL</t>
  </si>
  <si>
    <t>Gravity Linear Asset in Burwood Beach DSP Area - 250mm</t>
  </si>
  <si>
    <t>CARRINGTON 1 SPS-ELECTRICAL</t>
  </si>
  <si>
    <t>CARRINGTON 3 SPS-ELECTRICAL</t>
  </si>
  <si>
    <t>NEWCASTLE WEST 2 SPS - ELECTRICAL</t>
  </si>
  <si>
    <t>NEWCASTLE WEST 2 SPS - MECH</t>
  </si>
  <si>
    <t>Rising Linear Asset in Burwood Beach DSP Area - 50mm</t>
  </si>
  <si>
    <t>Gravity Linear Asset in Burwood Beach DSP Area - 600mm</t>
  </si>
  <si>
    <t>CARRINGTON 2 SPS-ELECTRICAL</t>
  </si>
  <si>
    <t>DUDLEY 6 SPS-CIVIL</t>
  </si>
  <si>
    <t>DUDLEY 6 SPS-ELECTRICAL</t>
  </si>
  <si>
    <t>DUDLEY 6 SPS-MECH</t>
  </si>
  <si>
    <t>Gravity Linear Asset in Burwood Beach DSP Area - 750mm</t>
  </si>
  <si>
    <t>CARRINGTON 4 SPS-ELECTRICAL</t>
  </si>
  <si>
    <t>Rising Linear Asset in Burwood Beach DSP Area - 200mm</t>
  </si>
  <si>
    <t>GARDEN SUBURBS 1 SPS KOTARA-ELECT</t>
  </si>
  <si>
    <t>GARDEN SUBURBS 1 SPS KOTARA-MECH</t>
  </si>
  <si>
    <t>NEWCASTLE 9MAYFIELD WEST ELECTRICAL</t>
  </si>
  <si>
    <t>BURWOOD BCH WWTW-SEALED ROAD</t>
  </si>
  <si>
    <t>Gravity Linear Asset in Burwood Beach DSP Area - 500mm</t>
  </si>
  <si>
    <t>DUDLEY 7 SPS-CIVIL</t>
  </si>
  <si>
    <t>DUDLEY 7 SPS-ELECTRICAL</t>
  </si>
  <si>
    <t>DUDLEY 7 SPS-MECH</t>
  </si>
  <si>
    <t>WARABROOK 1 SPS - CIVIL</t>
  </si>
  <si>
    <t>WARABROOK 1 SPS - ELECTRICAL</t>
  </si>
  <si>
    <t>WARABROOK 1 SPS - MECH</t>
  </si>
  <si>
    <t>Gravity Linear Asset in Burwood Beach DSP Area - 675mm</t>
  </si>
  <si>
    <t>Gravity Linear Asset in Burwood Beach DSP Area - 700mm</t>
  </si>
  <si>
    <t>DUDLEY 3 SPS-ELECTRICAL</t>
  </si>
  <si>
    <t>DUDLEY 4 SPS-ELECTRICAL</t>
  </si>
  <si>
    <t>NEWCASTLE EAST CIVIL</t>
  </si>
  <si>
    <t>NEWCASTLE EAST ELECTRICAL</t>
  </si>
  <si>
    <t>NEWCASTLE EAST MECH</t>
  </si>
  <si>
    <t>BURWOOD BCH WWTW-PLANT BUILDINGS</t>
  </si>
  <si>
    <t>BURWOOD BCH WWTW -ADMIN BUILDING(532M2)</t>
  </si>
  <si>
    <t>Rising Linear Asset in Burwood Beach DSP Area - 250mm</t>
  </si>
  <si>
    <t>Rising Linear Asset in Burwood Beach DSP Area - 1450mm</t>
  </si>
  <si>
    <t>Rising Linear Asset in Burwood Beach DSP Area - 750mm</t>
  </si>
  <si>
    <t>BURWOOD BCH WWTW-CONTROL ELECTRONICS</t>
  </si>
  <si>
    <t>BURWOOD BCH WWTW-PUMP STN-CIVIL</t>
  </si>
  <si>
    <t>BURWOOD BCH WWTW-PUMP STN-ELECT</t>
  </si>
  <si>
    <t>BURWOOD BCH WWTW-PUMP STN-MECH</t>
  </si>
  <si>
    <t>BURWOOD BCH WWTW-SECURITY FENCING</t>
  </si>
  <si>
    <t>BURWOOD BCH WWTW-WASTEWATER PIPELINES</t>
  </si>
  <si>
    <t>Gravity Linear Asset in Burwood Beach DSP Area - 2100mm</t>
  </si>
  <si>
    <t>Gravity Linear Asset in Burwood Beach DSP Area - 1830mm</t>
  </si>
  <si>
    <t>Rising Linear Asset in Burwood Beach DSP Area - 600mm</t>
  </si>
  <si>
    <t>DUDLEY 3 SPS-TELEMETRY</t>
  </si>
  <si>
    <t>NEWCASTLE 2 SPS - ELECTRICAL</t>
  </si>
  <si>
    <t>BURWOOD BCH WWTW-PRELIM. TREATMENT-CIVIL</t>
  </si>
  <si>
    <t>BURWOOD BCH WWTW-PRELIM. TREATMENT-ELECT</t>
  </si>
  <si>
    <t>BURWOOD BCH WWTW-PRELIM. TREATMENT-MECH</t>
  </si>
  <si>
    <t>BURWOOD BCH WWTW-ACCESS LADDERS</t>
  </si>
  <si>
    <t>BURWOOD BCH WWTW-REHAB'N SAND DUNES</t>
  </si>
  <si>
    <t>Rising Linear Asset in Burwood Beach DSP Area - 375mm</t>
  </si>
  <si>
    <t>BIRMINGHAM GARDENS SPS-CIVIL-ACCESS ROAD</t>
  </si>
  <si>
    <t>B/BCH FIT SHED -PORTABLE GENERATOR</t>
  </si>
  <si>
    <t>B/BCH FIT SHED -PORTABLE MIG WELDER</t>
  </si>
  <si>
    <t>BURWOOD BCH WWTW-ROADWORKS CIVIL</t>
  </si>
  <si>
    <t>BURWOOD BCH WWTW-SEC TR AB FILT TWR-CIVL</t>
  </si>
  <si>
    <t>BURWOOD BCH WWTW-SEC TR AB FILT TWR-ELEC</t>
  </si>
  <si>
    <t>BURWOOD BCH WWTW-SEC TR AB FILT TWR-MECH</t>
  </si>
  <si>
    <t>BURWOOD BCH WWTW-SEC TR AER'N TANK-CIVIL</t>
  </si>
  <si>
    <t>BURWOOD BCH WWTW-SEC TR BLOWER HSE-CIVIL</t>
  </si>
  <si>
    <t>BURWOOD BCH WWTW-SEC TR BLOWER HSE-ELECT</t>
  </si>
  <si>
    <t>BURWOOD BCH WWTW-SEC TR BLOWER HSE-MECH</t>
  </si>
  <si>
    <t>BURWOOD BCH WWTW-SEC TR CLARIFIERS-CIVIL</t>
  </si>
  <si>
    <t>BURWOOD BCH WWTW-SEC TR CLARIFIERS-ELECT</t>
  </si>
  <si>
    <t>BURWOOD BCH WWTW-SEC TR CLARIFIERS-MECH</t>
  </si>
  <si>
    <t>BURWOOD BCH WWTW-SEC TR MAIN P/S-CONTROL</t>
  </si>
  <si>
    <t>BURWOOD BCH WWTW-SEC TR MAIN P/ST-CIVIL</t>
  </si>
  <si>
    <t>BURWOOD BCH WWTW-SEC TR MAIN P/ST-ELECT</t>
  </si>
  <si>
    <t>BURWOOD BCH WWTW-SEC TR MAIN P/ST-MECH</t>
  </si>
  <si>
    <t>BURWOOD BCH WWTW-SEC TR PIPELINES</t>
  </si>
  <si>
    <t>BURWOOD BCH WWTW-SEC TR RAS P/STN-CIVIL</t>
  </si>
  <si>
    <t>BURWOOD BCH WWTW-SEC TR RAS P/STN-ELECT</t>
  </si>
  <si>
    <t>BURWOOD BCH WWTW-SEC TR RAS P/STN-MECH</t>
  </si>
  <si>
    <t>BURWOOD BCH WWTW-SEC TR SWITCH RM-CIVIL</t>
  </si>
  <si>
    <t>BURWOOD BCH WWTW-SEC TR SWITCH RM-CONTRO</t>
  </si>
  <si>
    <t>BURWOOD BCH WWTW-SEC TR SWITCH RM-ELECT</t>
  </si>
  <si>
    <t>BURWOOD BCH WWTW-SEC TR SWITCH RM-MECH</t>
  </si>
  <si>
    <t>BURWOOD BCH WWTW-SLUDGE DISPOSAL SYSTEM</t>
  </si>
  <si>
    <t>BIRMINGHAM GARDENS SPS-CIVIL</t>
  </si>
  <si>
    <t>BIRMINGHAM GARDENS SPS-ELECTRICAL</t>
  </si>
  <si>
    <t>BIRMINGHAM GARDENS SPS-MECH</t>
  </si>
  <si>
    <t>BIRMINGHAM GARDENS SPS-TELEMETRY</t>
  </si>
  <si>
    <t>CARRINGTON 4 SPS-TELEMETRY</t>
  </si>
  <si>
    <t>DUDLEY 1 CIV(ORG. CONST 1966 CONV2-WELL)</t>
  </si>
  <si>
    <t>DUDLEY 1 SPS-ELECTRICAL</t>
  </si>
  <si>
    <t>DUDLEY 1 SPS-MECH</t>
  </si>
  <si>
    <t>DUDLEY 1 SPS-TELEMETRY</t>
  </si>
  <si>
    <t>DUDLEY 2 CIV(ORG. CONST 1966 CONV2-WELL)</t>
  </si>
  <si>
    <t>DUDLEY 2 SPS-ELECTRICAL</t>
  </si>
  <si>
    <t>DUDLEY 2 SPS-MECH</t>
  </si>
  <si>
    <t>DUDLEY 2 SPS-O'FLOW RELIEF-DUDLEY 1</t>
  </si>
  <si>
    <t>DUDLEY 2 SPS-TELEMETRY</t>
  </si>
  <si>
    <t>GARDEN SUBURBS 1 SPS KOTARA-O'FLOW-G/S 1</t>
  </si>
  <si>
    <t>MARYVILLE 2 SPS - TELEMETRY</t>
  </si>
  <si>
    <t>NEWCASTLE 10 JESMOND TELEMETRY</t>
  </si>
  <si>
    <t>NEWCASTLE 2 SPS - TELEMETRY</t>
  </si>
  <si>
    <t>NEWCASTLE 9MAYFIELD WEST TELEMETRY</t>
  </si>
  <si>
    <t>NEWCASTLE EAST GUARDRAILS</t>
  </si>
  <si>
    <t>NEWCASTLE EAST TELEMETRY</t>
  </si>
  <si>
    <t>NEWCASTLE WEST 1 SPS -  TELEMETRY</t>
  </si>
  <si>
    <t>NEWCASTLE WEST 2 SPS - TELEMETRY</t>
  </si>
  <si>
    <t>TIGHES HILL 1 SPS - TELEMETRY</t>
  </si>
  <si>
    <t>WARABROOK 1 SPS - TELEMETRY</t>
  </si>
  <si>
    <t>BURWOOD BCH WWTW-SEC TR FILTER COV-CIVIL</t>
  </si>
  <si>
    <t>BURWOOD BEACH WWTW-SECURITY GATE</t>
  </si>
  <si>
    <t>Metres</t>
  </si>
  <si>
    <t>Asset</t>
  </si>
  <si>
    <t>BURWOOD SECURITY SYSTEM PRIM/SWITCHROOM</t>
  </si>
  <si>
    <t>BURWOOD SECURITY SYSTEM SEC/SWITCHROOM</t>
  </si>
  <si>
    <t>BURWOOD WWTW-SECOND/SWITCH ELECT PFC</t>
  </si>
  <si>
    <t>BURWOODWWTW-PRELIM/SWITCH ELECT PFC</t>
  </si>
  <si>
    <t>B/BEACH-CIVIL-SCUM REMOVAL PUMP STN</t>
  </si>
  <si>
    <t>B/BEACH-ELECT-SCUM REMOVAL PUMP STN</t>
  </si>
  <si>
    <t>B/BEACH-MECH-SCUM REMOVAL PUMP STN</t>
  </si>
  <si>
    <t>B/BEACH-TELEMETRY-SCUM REMOVAL PUMP STN</t>
  </si>
  <si>
    <t>CARRINGTON 1 SPS-MECHA-DRY WELL</t>
  </si>
  <si>
    <t>CARRINGTON 2 SPS-MECHA-DRY WELL</t>
  </si>
  <si>
    <t>CARRINGTON 3 SPS-MECHA-DRY WELL</t>
  </si>
  <si>
    <t>CARRINGTON 4 SPS-MECHA-DRY WELL</t>
  </si>
  <si>
    <t>DUDLEY 3 SPS-MECHA-DRY WELL</t>
  </si>
  <si>
    <t>DUDLEY 3 SPS-TELEM D/WELL ALARM</t>
  </si>
  <si>
    <t>MARYVILLE 1 SPS - MECHA-DRY WELL</t>
  </si>
  <si>
    <t>MARYVILLE 2 SPS -  TELEM D/WELL ALARM</t>
  </si>
  <si>
    <t>MARYVILLE 2 SPS - MECHA-DRY WELL</t>
  </si>
  <si>
    <t>MAYFIELD WEST 1 SPS - MECHA-DRY WELL</t>
  </si>
  <si>
    <t>NEWCASTLE 2 SPS - MECHA-DRY WELL</t>
  </si>
  <si>
    <t>NEWCASTLE 9 MFLD WEST TELEM D/WELL ALARM</t>
  </si>
  <si>
    <t>NEWCASTLE WEST 1 SPS - MECHA-DRY WELL</t>
  </si>
  <si>
    <t>NEWCASTLE WEST 2 SPS - MECHA-DRY WELL</t>
  </si>
  <si>
    <t>NEWCASTLE WEST 2 SPS -TELEM D/WELL ALARM</t>
  </si>
  <si>
    <t>TIGHES HILL 1 SPS - MECHA-DRY WELL</t>
  </si>
  <si>
    <t>TIGHES HILL 1 SPS - TELEM D/WELL ALARM</t>
  </si>
  <si>
    <t>BURWOOD BEACH WWTW - MOBILE SPRAY UNIT</t>
  </si>
  <si>
    <t>NEWCASTLE 1 SPS ELECT - S/BOARD - SPARE</t>
  </si>
  <si>
    <t>Gravity Linear Asset in Burwood Beach DSP Area - 180mm</t>
  </si>
  <si>
    <t>CARRINGTON 1 SPS - TELEMETRY</t>
  </si>
  <si>
    <t>CARRINGTON 2 SPS - TELEMETRY</t>
  </si>
  <si>
    <t>CARRINGTON 3 SPS - TELEMETRY</t>
  </si>
  <si>
    <t>CARRINGTON 4 SPS - TELEMETRY</t>
  </si>
  <si>
    <t>DUDLEY 3 SPS DRY W/ALARM - TELEMETRY</t>
  </si>
  <si>
    <t>DUDLEY 4 SPS - TELEMETRY</t>
  </si>
  <si>
    <t>DUDLEY 5 SPS - TELEMETRY</t>
  </si>
  <si>
    <t>DUDLEY 6 SPS - TELEMETRY</t>
  </si>
  <si>
    <t>GARDEN SUBURBS 1 SPS - TELEMETRY</t>
  </si>
  <si>
    <t>MARYVILLE 1 SPS - TELEMETRY</t>
  </si>
  <si>
    <t>MARYVILLE 2 SPS -DRY W/ALARM - TELEMETRY</t>
  </si>
  <si>
    <t>MAYFIELD WEST 1 SPS - TELEMETRY</t>
  </si>
  <si>
    <t>NEWCASTLE 9 SPS DRY W/ALARM - TELEMETRY</t>
  </si>
  <si>
    <t>TIGHES HILL 1  SPS - TELEMETRY</t>
  </si>
  <si>
    <t>B/WOOD BCH-AERATION TANK UPGRADE - CIVIL</t>
  </si>
  <si>
    <t>Gravity Linear Asset in Burwood Beach DSP Area - 160mm</t>
  </si>
  <si>
    <t>WARABROOK 1 SPS - ACCESS ROAD</t>
  </si>
  <si>
    <t>DUDLEY 3 SPS-REPLACE WORMALD TELEMETRY</t>
  </si>
  <si>
    <t>NEWCASTLE 1 WEST 1 SPS - WORMALD TELEM</t>
  </si>
  <si>
    <t>NEWCASTLE 2 SPS - WORMALD TELEM</t>
  </si>
  <si>
    <t>BURWOOD BCH WWTW-RAS PUMPS REPLACEMENT</t>
  </si>
  <si>
    <t>Gravity Linear Asset in Burwood Beach DSP Area - 315mm</t>
  </si>
  <si>
    <t>BURWOOD BEACH WWTW-GORMAN RUP GRIT PUMPS</t>
  </si>
  <si>
    <t>WARABROOK 1 SPS - SECURITY GATE</t>
  </si>
  <si>
    <t>BURWOOD BCH WWTW-CIVIL-GRIT REMOVAL UPGR</t>
  </si>
  <si>
    <t>BIRMINGHAM GARDENS SPS-ELEC-MIX NEUTRAL</t>
  </si>
  <si>
    <t>BURWOOD BCH WWTW - ACCESS RD RETAIN WALL</t>
  </si>
  <si>
    <t>Gravity Linear Asset in Burwood Beach DSP Area - 280mm</t>
  </si>
  <si>
    <t>BURWOOD BCH WWTW-P/WATER PUMP 1 REPL</t>
  </si>
  <si>
    <t>BURWOOD BEACH WWTW -  ABF TOWER  UPGRADE</t>
  </si>
  <si>
    <t>BURWOOD BCH DIFUSSED AIR AERATION SYSTEM</t>
  </si>
  <si>
    <t>B/WOOD BCH WWTW REPLACE PIPE COUPLINGS</t>
  </si>
  <si>
    <t>BURWOOD BCH WWTW-RAS PUMPS-SPARE</t>
  </si>
  <si>
    <t>MAYFIELD NO9 SPS- BARENYA ST- TELEMETRY</t>
  </si>
  <si>
    <t>NEWCASTLE WEST 1 SPS - OVERFLOW VALVE</t>
  </si>
  <si>
    <t>BURWOOD BEACH WWTW- TURBIDITY METER</t>
  </si>
  <si>
    <t>NEWCASTLE 10 JESMOND - PUMP MOTOR CONTRO</t>
  </si>
  <si>
    <t>BURWOOD BCH - REPLACE PUMP GUIDE RAILS</t>
  </si>
  <si>
    <t>BURWOOD BEACH WWTW - VAR DRIVE P-PUMP 1</t>
  </si>
  <si>
    <t>MARYVILLE 1 SPS - EMM ELECT 2005/06</t>
  </si>
  <si>
    <t>MAYFIELD WEST 1 SPS - EMM TELEM 2005/06</t>
  </si>
  <si>
    <t>NEWCASTLE 10 SPS - EMM ELECT 2005/06</t>
  </si>
  <si>
    <t>BURWOOD BEACH WWTW - EMM MECH 2005/06</t>
  </si>
  <si>
    <t>BIRMINGHAM GARDENS 1 SPS BFP</t>
  </si>
  <si>
    <t>CARRINGTON 1 SPS BFP</t>
  </si>
  <si>
    <t>CARRINGTON 2 SPS BFP</t>
  </si>
  <si>
    <t>CARRINGTON 3 SPS BFP</t>
  </si>
  <si>
    <t>CARRINGTON 4 SPS - EMM REPLACE 2004/05</t>
  </si>
  <si>
    <t>CARRINGTON 4 SPS BFP</t>
  </si>
  <si>
    <t>DUDLEY 1 SPS - EMM REP 2004/05</t>
  </si>
  <si>
    <t>DUDLEY 1 SPS BFP</t>
  </si>
  <si>
    <t>DUDLEY 2 SPS BFP</t>
  </si>
  <si>
    <t>DUDLEY 3 SPS - EMM REP 2004/05</t>
  </si>
  <si>
    <t>DUDLEY 3 SPS BFP</t>
  </si>
  <si>
    <t>DUDLEY 4 SPS BFP</t>
  </si>
  <si>
    <t>DUDLEY 5 SPS - EMM REP 2004/05</t>
  </si>
  <si>
    <t>DUDLEY 5 SPS BFP</t>
  </si>
  <si>
    <t>DUDLEY 6 SPS - EMM REP 2004/05</t>
  </si>
  <si>
    <t>DUDLEY 7 SPS - EMM REP 2004/05</t>
  </si>
  <si>
    <t>DUDLEY 7 SPS BFP</t>
  </si>
  <si>
    <t>GARDEN SUBURBS 1 SPS BFP</t>
  </si>
  <si>
    <t>MARYVILLE 1 SPS - BFP</t>
  </si>
  <si>
    <t>MARYVILLE 1 SPS - EMM REPLACE 2004/05</t>
  </si>
  <si>
    <t>MARYVILLE 2 SPS - BFP</t>
  </si>
  <si>
    <t>MARYVILLE 2 SPS - FALL ARREST SYSTEM</t>
  </si>
  <si>
    <t>MAYFIELD WEST 1 SPS BFP</t>
  </si>
  <si>
    <t>NEWCASTLE 1 SPS BFP</t>
  </si>
  <si>
    <t>NEWCASTLE 10 JESMOND - CONTROL SYSTEM</t>
  </si>
  <si>
    <t>NEWCASTLE 10 JESMOND SPS - PUMP 1</t>
  </si>
  <si>
    <t>NEWCASTLE 10 JESMOND SPS - PUMP 2</t>
  </si>
  <si>
    <t>NEWCASTLE 10 JESMOND SPS REPLACE PUMP 3</t>
  </si>
  <si>
    <t>NEWCASTLE 10 SPS - EMM REPLACE 2004/05</t>
  </si>
  <si>
    <t>NEWCASTLE 10 SPS - FALL ARREST SYSTEM</t>
  </si>
  <si>
    <t>NEWCASTLE 10 SPS BFP</t>
  </si>
  <si>
    <t>NEWCASTLE 2 SPS BFP</t>
  </si>
  <si>
    <t>NEWCASTLE 3 SPS BFP</t>
  </si>
  <si>
    <t>NEWCASTLE 5 SPS - EMM REP 2004/05</t>
  </si>
  <si>
    <t>NEWCASTLE 5 SPS BFP</t>
  </si>
  <si>
    <t>NEWCASTLE 9 SPS - EMM REP 2004/05</t>
  </si>
  <si>
    <t>NEWCASTLE 9 SPS - EMM REPLACE 2004/05</t>
  </si>
  <si>
    <t>NEWCASTLE 9 SPS BFP</t>
  </si>
  <si>
    <t>NEWCASTLE EAST 1 SPS - EMM REP 2004/05</t>
  </si>
  <si>
    <t>NEWCASTLE EAST 1 SPS BFP</t>
  </si>
  <si>
    <t>NEWCASTLE WEST 1 SPS - CONTROL LINE</t>
  </si>
  <si>
    <t>WARABROOK 1 SPS BFP</t>
  </si>
  <si>
    <t>BURWOOD BCH WWTW - VS DRIVE SEC PUMP 1</t>
  </si>
  <si>
    <t>BURWOOD BEACH WWTW - EMM REP 2004/05</t>
  </si>
  <si>
    <t>BURWOOD BEACH - AERATION SYSTEM UPGRADE</t>
  </si>
  <si>
    <t>N'CASTLE WEST 1 SPS -  PRESS MONITORING</t>
  </si>
  <si>
    <t>MARYVILLE 1 SPS - HATCH COVER</t>
  </si>
  <si>
    <t>MARYVILLE 2 SPS - HATCH COVER</t>
  </si>
  <si>
    <t>BURWOOD BEACH WWTW - EMM REPLACE 2005/06</t>
  </si>
  <si>
    <t>NEWCASTLE 10 JESMOND - SEWER HATCH COVER</t>
  </si>
  <si>
    <t>Gravity Linear Asset in Burwood Beach DSP Area - 1050mm</t>
  </si>
  <si>
    <t>Rising Linear Asset in Burwood Beach DSP Area - 900mm</t>
  </si>
  <si>
    <t>BURWOOD BEACH WWTW - MLSS METERS</t>
  </si>
  <si>
    <t>DUDLEY 2 SPS - SEWER VENT</t>
  </si>
  <si>
    <t>BURWOOD BCH WWTW - REFLUX VALVE/ACTUATOR</t>
  </si>
  <si>
    <t>BURWOOD BCH WWTW - SAFETY LINE ABF TOWER</t>
  </si>
  <si>
    <t>BURWOOD BEACH WWTW - BELT TRACK SCRN CON</t>
  </si>
  <si>
    <t>BURWOOD BEACH WWTW - E ACTUATORS GT R VA</t>
  </si>
  <si>
    <t>BURWOOD BEACH WWTW- ENTRY UPGRADE</t>
  </si>
  <si>
    <t>BURWOOD BEACH WWTW - PALLET TRUCK</t>
  </si>
  <si>
    <t>BURWOOD BEACH WWTW - S/S LAB EQUIPMENT</t>
  </si>
  <si>
    <t>BURWOOD BCH WWTW-RAS BAROMETRIC LOOP</t>
  </si>
  <si>
    <t>BURWOOD BCH WWTW-RAS FLOW MONITORING</t>
  </si>
  <si>
    <t>BURWOOD BCH WWTW-RAS PUMP SPR VALVE</t>
  </si>
  <si>
    <t>NEWCASTLE 9 SPS - BUND WALL</t>
  </si>
  <si>
    <t>NEWCASTLE WEST 1 SPS - DELIVERY VALVES</t>
  </si>
  <si>
    <t>BURWOOD BCH WWTW - ADMIN REFIRBISH 2007</t>
  </si>
  <si>
    <t>BURWOOD BCH WWTW - AIRCON UPGRADE 2007</t>
  </si>
  <si>
    <t>NEWCASTLE EAST SPS - SWITCHBOARD MODS 08</t>
  </si>
  <si>
    <t>NEWCASTLE EAST SPS - TELEMETRY MODS 08</t>
  </si>
  <si>
    <t>TIGHES HILL 1 SPS - SWITCHBOARD MODS 08</t>
  </si>
  <si>
    <t>TIGHES HILL 1 SPS - TELEMETRY MODS 08</t>
  </si>
  <si>
    <t>CARRINGTON 1 SPS - REFURBISHMENT 2008</t>
  </si>
  <si>
    <t>CARRINGTON 2 SPS - REFURBISHMENT 2008</t>
  </si>
  <si>
    <t>CARRINGTON 3 SPS - REFURBISHMENT 2008</t>
  </si>
  <si>
    <t>CARRINGTON 4 SPS - REFURBISHMENT 2008</t>
  </si>
  <si>
    <t>DUDLEY 3 SPS - EMM REPLACE 2006/07</t>
  </si>
  <si>
    <t>NEWCASTLE WEST 1 SPS - EMM 2006/07</t>
  </si>
  <si>
    <t>TIGHES HILL 1 SPS - EMM REPLACE 06/07</t>
  </si>
  <si>
    <t>BURWOOD BEACH WWTW - EMM REPLACE 06/07</t>
  </si>
  <si>
    <t>BURWOOD BEACH WWTW - MLSS METER</t>
  </si>
  <si>
    <t>NEWCASTLE WEST 1 SPS - LEVEL PROBES</t>
  </si>
  <si>
    <t>BURWOOD BCH WWTW - PRIMARY SCREENING SYS</t>
  </si>
  <si>
    <t>BURWOOD BEACH WWTW OVERHEAD CRANE MODS</t>
  </si>
  <si>
    <t>BURWOOD BEACH WWTW - EMM ELECT 07/08</t>
  </si>
  <si>
    <t>BURWOOD BEACH WWTW - EMM MECH 07/08</t>
  </si>
  <si>
    <t>DUDLEY 2 SPS - SWITCHBOARD</t>
  </si>
  <si>
    <t>BURWOOD BCH WWTW-RAS PUMP 1 SWITCHBOARD</t>
  </si>
  <si>
    <t>BURWOOD BCH WWTW-REPLACE PLC COMMS CARD</t>
  </si>
  <si>
    <t>BURWOOD BEACH WWTW - 240V POWER OUTLET</t>
  </si>
  <si>
    <t>BURWOOD BEACH WWTW - SWITCHROOM UPGRADE</t>
  </si>
  <si>
    <t>CARRINGTON 1 SPS - EMM 2007-08</t>
  </si>
  <si>
    <t>CARRINGTON 2 SPS - EMM 2007-08</t>
  </si>
  <si>
    <t>CARRINGTON 3 SPS - EMM 2007-08</t>
  </si>
  <si>
    <t>CARRINGTON 4 SPS - EMM 2007-08</t>
  </si>
  <si>
    <t>DUDLEY 2 SPS - EMM 2007-08</t>
  </si>
  <si>
    <t>DUDLEY 3 SPS - EMM 2007-08</t>
  </si>
  <si>
    <t>DUDLEY 4 SPS - EMM 2007-08</t>
  </si>
  <si>
    <t>GARDEN SUBURBS 1 SPS - EMM 2007-08</t>
  </si>
  <si>
    <t>GARDEN SUBURBS 1 SPS - SWITCHBOARD</t>
  </si>
  <si>
    <t>MARYVILLE 1 SPS - EMM 2007-08</t>
  </si>
  <si>
    <t>MARYVILLE 2 SPS - EMM 2007-08</t>
  </si>
  <si>
    <t>NEWCASTLE 10 SPS JESMOND - EMM 2007-08</t>
  </si>
  <si>
    <t>NEWCASTLE 2 SPS - EMM 2007-08</t>
  </si>
  <si>
    <t>NEWCASTLE 9 SPS - DRYWELL PUMP 1</t>
  </si>
  <si>
    <t>NEWCASTLE 9 SPS - SWITCHBOARD</t>
  </si>
  <si>
    <t>NEWCASTLE EAST 1 SPS - EMM 2007-08</t>
  </si>
  <si>
    <t>NEWCASTLE WEST 1 SPS - EMM 2007-08</t>
  </si>
  <si>
    <t>NEWCASTLE WEST 1 SPS - SWITCHBOARD</t>
  </si>
  <si>
    <t>NEWCASTLE WEST 2 SPS - MECH REPLACEMENTS</t>
  </si>
  <si>
    <t>NEWCASTLE WEST 2 SPS - SWITCHBOARD</t>
  </si>
  <si>
    <t>TIGHES HILL 1 SPS - EMM 2007-08</t>
  </si>
  <si>
    <t>WARABROOK 1 SPS - EMM 2007-08</t>
  </si>
  <si>
    <t>BURWOOD BCH WWTW - AERATION SYS NEW PLC</t>
  </si>
  <si>
    <t>BURWOOD BEACH WWTW - EMM 2007-08</t>
  </si>
  <si>
    <t>BURWOOD BEACH WWTW - EMM 2007/08</t>
  </si>
  <si>
    <t>CARRINGTON 2 SPS - SUMP PUMP</t>
  </si>
  <si>
    <t>BURWOOD BCH WWTW - HYDRAULIC POWER PACK</t>
  </si>
  <si>
    <t>CARRINGTON 4 SPS - SWITCHBOARD</t>
  </si>
  <si>
    <t>MARYVILLE 1 SPS - VENT FAN</t>
  </si>
  <si>
    <t>N'CASTLE WEST 1 SPS -WELL 2 LEVEL CONT</t>
  </si>
  <si>
    <t>NEWCASTLE EAST 1 SPS - PLC</t>
  </si>
  <si>
    <t>NEWCASTLE WEST 2 SPS - SUMP PUMP REPAIR</t>
  </si>
  <si>
    <t>BURWOOD BEACH WWT - VF DRIVE</t>
  </si>
  <si>
    <t>BURWOOD BEACH WWTW-ELECTRICAL LOCK SYST</t>
  </si>
  <si>
    <t>BURWOOD BEACH WWTW - CABLE REPLACEMENTS</t>
  </si>
  <si>
    <t>BURWOOD BEACH WWTW - ELECTRICAL ASSETS</t>
  </si>
  <si>
    <t>BURWOOD BEACH WWTW - PRIMARY PUMP 3</t>
  </si>
  <si>
    <t>BURWOOD BEACH WWTW - PRIMARY PUMP 6</t>
  </si>
  <si>
    <t>NEWCASTLE 9 SPS - DRYWELL PUMP 2</t>
  </si>
  <si>
    <t>BURWOOD BEACH WWTW - PRIMARY PUMP 2</t>
  </si>
  <si>
    <t>BURWOOD BEACH WWTW - SECONDARY PUMP 3</t>
  </si>
  <si>
    <t>BURWOOD BEACH WWTW - TRANSFORMER 2</t>
  </si>
  <si>
    <t>MAYFIELD WEST 1 SPS - ELECTRICAL UPGRADE</t>
  </si>
  <si>
    <t>NEWCASTLE 9 SPS - MECH REPLACEMENTS</t>
  </si>
  <si>
    <t>NEWCASTLE 9 SPS - SUMP PUMP</t>
  </si>
  <si>
    <t>NEWCASTLE WEST 2 SPS - STARTER PUMP 1</t>
  </si>
  <si>
    <t>NEWCASTLE WSET 2 SPS - DRYWELL PUMP 1</t>
  </si>
  <si>
    <t>BURWOOD BCH WWTW - ELECT VALVE WINDER</t>
  </si>
  <si>
    <t>BURWOOD BCH WWTW - KIOSK RELOCATION</t>
  </si>
  <si>
    <t>BURWOOD BCH WWTW - SEC SWITCH UPGRADE</t>
  </si>
  <si>
    <t>BURWOOD BEACH WWTW PLC &amp; TELEM UPGRADE</t>
  </si>
  <si>
    <t>NEWCASTLE 9 SPS - LIFTING PUMPS</t>
  </si>
  <si>
    <t>DUDLEY 5 SPS-WET WELL LEVEL TRANSMITTER</t>
  </si>
  <si>
    <t>NEWCASTLE WEST 2 SPS - ALUMINIUM COVERS</t>
  </si>
  <si>
    <t>BURWOOD BEACH WWTW - P PS VALVES</t>
  </si>
  <si>
    <t>DUDLEY 1 SPS - SUB PUMP 2</t>
  </si>
  <si>
    <t>DUDLEY 4 SPS - SUB PUMP 1</t>
  </si>
  <si>
    <t>NEWCASTLE WEST 1 SPS - CRANE MAINT MNGT</t>
  </si>
  <si>
    <t>BURWOOD BEACH WWTW -  VENT FAN 1</t>
  </si>
  <si>
    <t>BURWOOD BEACH WWTW -  VENT FAN 2</t>
  </si>
  <si>
    <t>BURWOOD BEACH WWTW - BIOFILTER</t>
  </si>
  <si>
    <t>BURWOOD BEACH WWTW - HUMIDIFIER</t>
  </si>
  <si>
    <t>BURWOOD BEACH WWTW - ODOUR CONTROL PIPES</t>
  </si>
  <si>
    <t>DUDLEY 6 SPS - IN/OUT ALARM</t>
  </si>
  <si>
    <t>NEWCASTLE 10 SPS - WIRING &amp; DRAWINGS</t>
  </si>
  <si>
    <t>NEWCASTLE WEST 1 SPS - RADIO</t>
  </si>
  <si>
    <t>BURWOOD BEACH WWTW - ELECTRICAL DRAWINGS</t>
  </si>
  <si>
    <t>MARYVILLE 1 SPS - PLC</t>
  </si>
  <si>
    <t>NEWCASTLE WEST 1 SPS - EMS ANCHOR PLATES</t>
  </si>
  <si>
    <t>B/BEACH WWTW - SCREEN HOUSE PHONE LINES</t>
  </si>
  <si>
    <t>DUDLEY 1 SPS - TELEMETRY POLE</t>
  </si>
  <si>
    <t>NEWCASTLE WEST 2 SPS - SUMP PUMP LINE</t>
  </si>
  <si>
    <t>B/BEACH WWTW - ELEC/MECH UPGRADES 09/10</t>
  </si>
  <si>
    <t>BURWOOD BEACH WWTW - SCREEN LOAD BAY</t>
  </si>
  <si>
    <t>NEWCASTLE WEST 2 SPS - ACCESS HATCHES</t>
  </si>
  <si>
    <t>CARRINGTON 1 SPS - PLC</t>
  </si>
  <si>
    <t>BURWOOD BEACH WWTW - CABLES &amp; CONDUIT</t>
  </si>
  <si>
    <t>BURWOOD BEACH WWTW - SCREEN HOUSE ROOF</t>
  </si>
  <si>
    <t>BURWOOD BEACH WWTW - PRIMARY DRAWINGS</t>
  </si>
  <si>
    <t>Gravity Linear Asset in Burwood Beach DSP Area - 1200mm</t>
  </si>
  <si>
    <t>NEWCASTLE 10 SPS - PLC</t>
  </si>
  <si>
    <t>NEWCASTLE WEST 1 SPS - ELEC/MECH UPGRADE</t>
  </si>
  <si>
    <t>NEWCASTLE WEST 1 SPS - ACTUATOR</t>
  </si>
  <si>
    <t>B/BEACH WWTW - AERATION TANK PENSTOCK 1</t>
  </si>
  <si>
    <t>BURWOOD BEACH WWTW - LIFTING CHAINS</t>
  </si>
  <si>
    <t>BURWOOD BEACH WWTW - BOOM GATE</t>
  </si>
  <si>
    <t>B/BEACH WWTW - DISSOLVED OXYGEN SENSOR 1</t>
  </si>
  <si>
    <t>BURWOOD BEACH WWTW-CONFINED SPACE EQUIP</t>
  </si>
  <si>
    <t>BURWOOD BEACH WWTW - ABF DISTRIBUTOR</t>
  </si>
  <si>
    <t>BURWOOD BEACH WWTW - CLARIFIERS 1,2&amp;3</t>
  </si>
  <si>
    <t>BURWOOD BEACH WWTW - OLD SPS CONVERSION</t>
  </si>
  <si>
    <t>BURWOOD BEACH WWTW - UPS</t>
  </si>
  <si>
    <t>CARRINGTON 2 SPS - PIPEWORK</t>
  </si>
  <si>
    <t>BURWOOD BEACH WWTW - SCREENHOUSE</t>
  </si>
  <si>
    <t>MAYFIELD WEST 1 SPS - PLC</t>
  </si>
  <si>
    <t>NEWCASTLE WEST 1 SPS - BYPASS CONTACTORS</t>
  </si>
  <si>
    <t>TIGHES HILL 1 SPS - PUMP 1</t>
  </si>
  <si>
    <t>BURWOOD BEACH WWTW - GRIT 1 CHAMBER PUMP</t>
  </si>
  <si>
    <t>BURWOOD BEACH WWTW - PRIMARY PUMP 5</t>
  </si>
  <si>
    <t>CARRINGTON 1 SPS - PUMP 1</t>
  </si>
  <si>
    <t>NEWCASTLE 10 SPS - LIGHT SWITCHES</t>
  </si>
  <si>
    <t>NEWCASTLE WEST 1 SPS - PUMP 1</t>
  </si>
  <si>
    <t>B'BEACH WWTW-CONCRETE INLET WORKS STRUCT</t>
  </si>
  <si>
    <t>B'BEACH WWTW - BIOREACTOR CONCRETE WORKS</t>
  </si>
  <si>
    <t>B'BEACH WWTW - BIOREACTOR EARTHWORKS</t>
  </si>
  <si>
    <t>B'BEACH WWTW - CONCRETE BIO STRUCTURE</t>
  </si>
  <si>
    <t>B'BEACH WWTW - DEFUSED AERATION SYSTEM 1</t>
  </si>
  <si>
    <t>B'BEACH WWTW - GRIT WASHER &amp; CLARIFIER</t>
  </si>
  <si>
    <t>B'BEACH WWTW - RAS PS CONCRETE WORK</t>
  </si>
  <si>
    <t>B'BEACH WWTW - RECLAIMED WATER PUMP 1</t>
  </si>
  <si>
    <t>B'BEACH WWTW - ROADWORKS &amp; LANDSCAPING</t>
  </si>
  <si>
    <t>B'BEACH WWTW - SCUM PUMP BELT CONVEYOR</t>
  </si>
  <si>
    <t>B'BEACH WWTW - STORMWATER CONCRETE WORKS</t>
  </si>
  <si>
    <t>B'BEACH WWTW - STORMWATER EARTHWORKS</t>
  </si>
  <si>
    <t>B'BEACH WWTW - YARD PIPING &amp; SERVICES</t>
  </si>
  <si>
    <t>BURWOOD BEACH WWTW-PENSTOCKS &amp;STOPBOARDS</t>
  </si>
  <si>
    <t>BURWOOD BEACH WWTW-SCREENINGS WASH PRESS</t>
  </si>
  <si>
    <t>BURWOOD BEACH WWTW - CLARIFIER 1 TANK 1</t>
  </si>
  <si>
    <t>BURWOOD BEACH WWTW - CLARIFIER 1 TANK 2</t>
  </si>
  <si>
    <t>BURWOOD BEACH WWTW - CLARIFIER 1 TANK 3</t>
  </si>
  <si>
    <t>BURWOOD BEACH WWTW - CLARIFIER 1 TANK 4</t>
  </si>
  <si>
    <t>BURWOOD BEACH WWTW - EDS CONCRETE WORKS</t>
  </si>
  <si>
    <t>BURWOOD BEACH WWTW - EDS EARTHWORKS</t>
  </si>
  <si>
    <t>BURWOOD BEACH WWTW - ELECTRICAL</t>
  </si>
  <si>
    <t>BURWOOD BEACH WWTW - GENERAL EARTHWORKS</t>
  </si>
  <si>
    <t>BURWOOD BEACH WWTW - MECH SCREENS</t>
  </si>
  <si>
    <t>BURWOOD BEACH WWTW - MECHANICAL</t>
  </si>
  <si>
    <t>BURWOOD BEACH WWTW - METALWORK FITOUT</t>
  </si>
  <si>
    <t>BURWOOD BEACH WWTW - PIPING</t>
  </si>
  <si>
    <t>BURWOOD BEACH WWTW - RAS PUMP 1</t>
  </si>
  <si>
    <t>BURWOOD BEACH WWTW - RAS PUMP STN 1</t>
  </si>
  <si>
    <t>BURWOOD BEACH WWTW - RAS PUMP STN 2</t>
  </si>
  <si>
    <t>BURWOOD BEACH WWTW - RAS PUMP STN 3</t>
  </si>
  <si>
    <t>BURWOOD BEACH WWTW - RAS PUMP STN 4</t>
  </si>
  <si>
    <t>BURWOOD BEACH WWTW - SCREW CONVEYORS</t>
  </si>
  <si>
    <t>BURWOOD BEACH WWTW - SECONDARY PUMP 1</t>
  </si>
  <si>
    <t>BURWOOD BEACH WWTW - SECONDARY PUMP 2</t>
  </si>
  <si>
    <t>BURWOOD BEACH WWTW - SLUDGE PUMP 1</t>
  </si>
  <si>
    <t>BURWOOD BEACH WWTW - STORMWATER PUMPS</t>
  </si>
  <si>
    <t>BURWOOD BEACH WWTW - SWITCH YARD</t>
  </si>
  <si>
    <t>BURWOOD BEACH WWTW - SWITCHBOARD</t>
  </si>
  <si>
    <t>BURWOOD BEACH WWTW - TELEMETRY</t>
  </si>
  <si>
    <t>BURWOOD BEACH WWTW - TRANSFORMERS</t>
  </si>
  <si>
    <t>BURWOOD BEACH WWTW - VALVES</t>
  </si>
  <si>
    <t>DUDLEY 4 SPS - DELIVERY VALVES</t>
  </si>
  <si>
    <t>DUDLEY 2 SPS - ES SPRAYDOWN SYSTEM</t>
  </si>
  <si>
    <t>DUDLEY 2 SPS - LEVEL INDICATOR</t>
  </si>
  <si>
    <t>DUDLEY 2 SPS - OFFLINE STORAGE</t>
  </si>
  <si>
    <t>DUDLEY 4 SPS - LEVEL INDICATOR</t>
  </si>
  <si>
    <t>DUDLEY 4 SPS - OFFLINE STORAGE</t>
  </si>
  <si>
    <t>DUDLEY 3 SPS - PUMP 1</t>
  </si>
  <si>
    <t>NEWCASTLE 10 SPS - RADAR LEVEL CONTROL</t>
  </si>
  <si>
    <t>BURWOOD BEACH WWTW - PRIMARY PUMP 7</t>
  </si>
  <si>
    <t>BURWOOD BEACH WWTW - ELEC/MECH</t>
  </si>
  <si>
    <t>Gravity Linear Asset in Burwood Beach DSP Area - 900mm</t>
  </si>
  <si>
    <t>MAYFIELD STORMFLOW SPS - CIVIL</t>
  </si>
  <si>
    <t>MAYFIELD STORMFLOW SPS - ELECT KIOSK</t>
  </si>
  <si>
    <t>MAYFIELD STORMFLOW SPS - OTHER ELECT</t>
  </si>
  <si>
    <t>MAYFIELD STORMFLOW SPS - OTHER MECH</t>
  </si>
  <si>
    <t>MAYFIELD STORMFLOW SPS - PUMP 1</t>
  </si>
  <si>
    <t>MAYFIELD STORMFLOW SPS - PUMP 2</t>
  </si>
  <si>
    <t>MAYFIELD STORMFLOW SPS - PUMP 3</t>
  </si>
  <si>
    <t>MAYFIELD STORMFLOW SPS - SWITCHBOARD</t>
  </si>
  <si>
    <t>MAYFIELD STORMFLOW SPS - TELEMETRY</t>
  </si>
  <si>
    <t>BURWOOD BEACH WWTW - ABF TOWER MEDIA</t>
  </si>
  <si>
    <t>BURWOOD BEACH WWTW - ABF TOWER ROOF</t>
  </si>
  <si>
    <t>Gravity Linear Asset in Burwood Beach DSP Area - 1000mm</t>
  </si>
  <si>
    <t>BURWOOD BEACH WWTW - PPS CONTROL SCHEME</t>
  </si>
  <si>
    <t>BURWOOD BEACH WWTW - EMM ELEC 2013</t>
  </si>
  <si>
    <t>DUDLEY 2 SPS - FALL ARREST SYSTEM</t>
  </si>
  <si>
    <t>BURWOOD BEACH WWTW - COND/ASS FLAGGY CK</t>
  </si>
  <si>
    <t>NEWCASTLE 10 SPS - COND ASSESS 2014</t>
  </si>
  <si>
    <t>TIGHES HILL 1 SPS - EMM ELEC 2014</t>
  </si>
  <si>
    <t>DUDLEY 1 SPS - EMM ELEC 2014</t>
  </si>
  <si>
    <t>JESMOND 1 SPS - EMM ELEC 2014</t>
  </si>
  <si>
    <t>NEWCASTLE 2 SPS - EMM MECH 2014</t>
  </si>
  <si>
    <t>MARYVILLE 2 SPS - EMM ELEC 2014</t>
  </si>
  <si>
    <t>BURWOOD BEACH WWTW - MACHINE GUARDING</t>
  </si>
  <si>
    <t>BURWOOD BEACH WWTW - SMOKE TESTING 2014</t>
  </si>
  <si>
    <t>WARABROOK 1 SPS - EMM ELEC 2014</t>
  </si>
  <si>
    <t>BURWOOD BEACH  WWTW - EMM ELEC 2014</t>
  </si>
  <si>
    <t>B'BEACH WWTW - POTABLE SUPPLY METER</t>
  </si>
  <si>
    <t>BURWOOD BEACH  WWTW - EMS W/S R'DOOR</t>
  </si>
  <si>
    <t>BURWOOD BEACH  WWTW - MANDOWN COMS SYS</t>
  </si>
  <si>
    <t>BURWOOD BEACH WWTW - FIRE SUPPRESSION</t>
  </si>
  <si>
    <t>BURWOOD BEACH WWTW - SAFETY IMPROVEMENTS</t>
  </si>
  <si>
    <t>NEWCASTLE 2 SPS - EMM ELEC 2015</t>
  </si>
  <si>
    <t>BURWOOD BEACH WWTW - VSD S'ROOM AIR CON</t>
  </si>
  <si>
    <t>BURWOOD BEACH WWTW - ELECT SCHEMATIC</t>
  </si>
  <si>
    <t>GARDEN SUBURB 1 SPS - SS316 ERS TRIAL 14</t>
  </si>
  <si>
    <t>BURWOOD BEACH WWTW - EMM MECH 2014</t>
  </si>
  <si>
    <t>B'BEACH WWTW - P/PUMP STN - PUMP 1</t>
  </si>
  <si>
    <t>B'BEACH WWTW - P/PUMP STN - PUMP 2</t>
  </si>
  <si>
    <t>B'BEACH WWTW - P/PUMP STN - PUMP 3</t>
  </si>
  <si>
    <t>B'BEACH WWTW - P/PUMP STN - PUMP 4</t>
  </si>
  <si>
    <t>B'BEACH WWTW - P/PUMP STN - PUMP 5</t>
  </si>
  <si>
    <t>B'BEACH WWTW - PRIMARY PUMP STN - VALVES</t>
  </si>
  <si>
    <t>B'BEACH WWTW - PRIMARY PUMP STN VSD'S</t>
  </si>
  <si>
    <t>B'BEACH WWTW - PRIMARY PUMPS STN CIVIL</t>
  </si>
  <si>
    <t>N'CASTLE WEST 1 SPS-LIFTING DEVICES 2014</t>
  </si>
  <si>
    <t>NEWCASTLE 10 SPS - ACCESS RD UPGRADE</t>
  </si>
  <si>
    <t>NEWCASTLE 10 SPS - SWITCHBOARD (KIWS)</t>
  </si>
  <si>
    <t>NEWCASTLE 10 SPS - VALVING (KIWS)</t>
  </si>
  <si>
    <t>DUDLEY 2 SPS - EMM ELEC 2014</t>
  </si>
  <si>
    <t>BURWOOD BEACH WWTW - EMM ELEC RCTV 2014</t>
  </si>
  <si>
    <t>BURWOOD BCH WWTW - ACCESS ROAD A'GRD AIR</t>
  </si>
  <si>
    <t>BURWOOD BCH WWTW - HV 1000KVA KIOSK</t>
  </si>
  <si>
    <t>BURWOOD BCH WWTW - HV ABS &amp; EARTH SYS</t>
  </si>
  <si>
    <t>BURWOOD BCH WWTW - HV CABLES &amp; CONDUITS</t>
  </si>
  <si>
    <t>BURWOOD BCH WWTW - HV CABLING SYSTEM</t>
  </si>
  <si>
    <t>BURWOOD BCH WWTW - HV DC SYSTEMS</t>
  </si>
  <si>
    <t>BURWOOD BCH WWTW - HV GENERATOR PANELS</t>
  </si>
  <si>
    <t>BURWOOD BCH WWTW - HV ISOLATION PANEL</t>
  </si>
  <si>
    <t>BURWOOD BCH WWTW - HV KIOSK TXF SUB'STN</t>
  </si>
  <si>
    <t>BURWOOD BCH WWTW - HV MEN POINT WORKS</t>
  </si>
  <si>
    <t>BURWOOD BCH WWTW - HV METERING</t>
  </si>
  <si>
    <t>BURWOOD BCH WWTW - HV NULEC RECLOSERS</t>
  </si>
  <si>
    <t>BURWOOD BCH WWTW - HV PLANT CIVIL WORK</t>
  </si>
  <si>
    <t>BURWOOD BCH WWTW - HV PLC SCADA EQUIP</t>
  </si>
  <si>
    <t>BURWOOD BCH WWTW - HV PLT EARTH GRID</t>
  </si>
  <si>
    <t>BURWOOD BCH WWTW - HV PRM PLANT AHF &amp; OC</t>
  </si>
  <si>
    <t>BURWOOD BCH WWTW - HV PRM PLT S/B ACB'S</t>
  </si>
  <si>
    <t>BURWOOD BCH WWTW - HV RECLOSER &amp; ABS</t>
  </si>
  <si>
    <t>BURWOOD BCH WWTW - HV REM CONTROL PANELS</t>
  </si>
  <si>
    <t>BURWOOD BCH WWTW - HV SEC PL SWITCHBOARD</t>
  </si>
  <si>
    <t>BURWOOD BCH WWTW - HV SEC PLANT EARTH'G</t>
  </si>
  <si>
    <t>BURWOOD BCH WWTW - HV SEC PLT CIVIL WORK</t>
  </si>
  <si>
    <t>BURWOOD BCH WWTW - HV TIMBER POLES</t>
  </si>
  <si>
    <t>BURWOOD BCH WWTW - LV ELV &amp; CONTROL</t>
  </si>
  <si>
    <t>BURWOOD BCH WWTW - LV ELV CABLING SYS</t>
  </si>
  <si>
    <t>NEWCASTLE 5 SPS - EMM MECH 2015</t>
  </si>
  <si>
    <t>BURWOOD BEACH WWTW- EARTHING SYSTEM</t>
  </si>
  <si>
    <t>BURWOOD WWTW - MECH MINOR CAP 2013/16</t>
  </si>
  <si>
    <t>DUDLEY 6 SPS - EMM MECH 2015</t>
  </si>
  <si>
    <t>BURWOOD BEACH WWTW - SMALL CAPITAL WORKS</t>
  </si>
  <si>
    <t>COND ASS - BURWOOD OUTFALL ACCESS 2015</t>
  </si>
  <si>
    <t>BURWOOD BEACH WWTW -CONDITION ASSESSMENT</t>
  </si>
  <si>
    <t>BURWOOD WWTW - CIVI MINOR CAP 2013/16</t>
  </si>
  <si>
    <t>MAYFIELD WEST 1 SPS - EMM ELEC 2015</t>
  </si>
  <si>
    <t>WARABROOK 1 SPS - EMM ELEC 2015</t>
  </si>
  <si>
    <t>NEWCASTLE 2 SPS - EMM MECH 2015</t>
  </si>
  <si>
    <t>BURWOOD WWTW - ELEC MINOR CAP 2013/16</t>
  </si>
  <si>
    <t>BURWOOD WWTW - TELE MINOR CAP 2013/16</t>
  </si>
  <si>
    <t>NEWCASTLE 10 - COND ASSESS 2015</t>
  </si>
  <si>
    <t>NEWCASTLE 10 - COND ASSESS 2016</t>
  </si>
  <si>
    <t>NEWCASTLE WEST 1 SPS - EMM ELEC 2016</t>
  </si>
  <si>
    <t>NEWCASTLE 2 SPS - EMM ELEC 2016</t>
  </si>
  <si>
    <t>JESMOND 1 SPS - EMM ELEC 2016</t>
  </si>
  <si>
    <t>MARYVILLE 2 SPS - EMM ELEC 2016</t>
  </si>
  <si>
    <t>TIGHES HILL 1 SPS - EMM ELEC RCTV 2016</t>
  </si>
  <si>
    <t>BIRMINGHAM GARDENS 1 SPS - EMM ELEC 2016</t>
  </si>
  <si>
    <t>DUDLEY 4 SPS - EMM ELEC 2016</t>
  </si>
  <si>
    <t>BURWOOD BEACH WWTW - GATE INTERCOM</t>
  </si>
  <si>
    <t>COND ASS - B'BEACH WWTW PUMP HOUSE 2016</t>
  </si>
  <si>
    <t>BIRMINGHAM GARDENS 1 SPS - HANDRAILS</t>
  </si>
  <si>
    <t>DUDLEY 1 SPS - FALL ARREST HANDRAILS</t>
  </si>
  <si>
    <t>DUDLEY 4 SPS - FALL ARREST HANDRAILS</t>
  </si>
  <si>
    <t>DUDLEY 5 SPS - FALL ARREST HANDRAILS</t>
  </si>
  <si>
    <t>DUDLEY 6 SPS - FALL ARREST HANDRAILS</t>
  </si>
  <si>
    <t>DUDLEY 7 SPS - FALL ARREST HANDRAILS</t>
  </si>
  <si>
    <t>GARDEN SUBURB 1 SPS - HANDRAILS</t>
  </si>
  <si>
    <t>NEWCASTLE 10 SPS - HANDRAILS</t>
  </si>
  <si>
    <t>NEWCASTLE EAST 1 SPS - HANDRAILS</t>
  </si>
  <si>
    <t>WARABROOK 1 SPS - HANDRAILS</t>
  </si>
  <si>
    <t>BIRMINGHAM GARDENS 1 SPS - PUMP STARTER</t>
  </si>
  <si>
    <t>DUDLEY 3 SPS - PUMP STARTER UPGRADE</t>
  </si>
  <si>
    <t>DUDLEY 7 SPS - PUMP STARTER UPGRADE</t>
  </si>
  <si>
    <t>NEWCASTLE 2 SPS - PUMP STARTER UPGRADE</t>
  </si>
  <si>
    <t>NEWCASTLE 10 SPS - ODOUR CONTROL UNIT</t>
  </si>
  <si>
    <t>TIGHES HILL 1 SPS - PUMP 2</t>
  </si>
  <si>
    <t>BURWOOD BEACH WWTW - REPLACE BLOWER NO 1</t>
  </si>
  <si>
    <t>BURWOOD  WWTW - ACTUATOR REPLACEMENTS</t>
  </si>
  <si>
    <t>BURWOOD  WWTW - GRIT PUMP</t>
  </si>
  <si>
    <t>BURWOOD  WWTW - INLET PUMP</t>
  </si>
  <si>
    <t>BURWOOD  WWTW - INLET SCREEN DRUMS</t>
  </si>
  <si>
    <t>BURWOOD  WWTW - RAS PUMP</t>
  </si>
  <si>
    <t>BURWOOD  WWTW - STANDBY WAS PUMP</t>
  </si>
  <si>
    <t>BURWOOD BEACH - PRIMARY S'ROOM ROOF</t>
  </si>
  <si>
    <t>BURWOOD BEACH WWTW - ABF TOWER ACCESS</t>
  </si>
  <si>
    <t>BURWOOD WWTW - PPS NON RETURN VALVES</t>
  </si>
  <si>
    <t>BURWOOD BEACH WWTW - GRIT PUMP</t>
  </si>
  <si>
    <t>CARRINGTON 4 SPS - EMM ELEC 2017</t>
  </si>
  <si>
    <t>BURWOOD BEACH WWTW - SAMPLING SHED</t>
  </si>
  <si>
    <t>BURWOOD BEACH WWTW - UPS REPLACE</t>
  </si>
  <si>
    <t>BURWOOD BEACH WWTW - DISINFECTION SYSTEM</t>
  </si>
  <si>
    <t>B'BEACH WWTW - UV DISINFECTION SYS CIVIL</t>
  </si>
  <si>
    <t>B'BEACH WWTW - UV DISINFECTION SYST ELEC</t>
  </si>
  <si>
    <t>B'BEACH WWTW - UV DISINFECTION SYST MECH</t>
  </si>
  <si>
    <t>BURWOOD BEACH WWTW - PENSTOCK REFURB</t>
  </si>
  <si>
    <t>BURWOOD BEACH WWTW - WAS PUMP</t>
  </si>
  <si>
    <t>BURWOOD BEACH WWTW - ODOUR BED MEDIA</t>
  </si>
  <si>
    <t>DUDLEY 3 SPS - EMM ELEC 2015</t>
  </si>
  <si>
    <t>MARYVILLE 1 SPS - EMM ELEC 2015</t>
  </si>
  <si>
    <t>NEWCASTLE 10 SPS - EMM ELEC 2015</t>
  </si>
  <si>
    <t>NEWCASTLE 2 SPS - EMM ELEC 2014</t>
  </si>
  <si>
    <t>NEWCASTLE 5 SPS - EMM ELEC 2016</t>
  </si>
  <si>
    <t>NEWCASTLE EAST 1 SPS - EMM ELEC 2014</t>
  </si>
  <si>
    <t>BURWOOD BEACH WWTW - EMM ELEC 2014</t>
  </si>
  <si>
    <t>BURWOOD BEACH WWTW - RAS PUMP 3</t>
  </si>
  <si>
    <t>BURWOOD BEACH WWTW - EMM MECH 2016-17</t>
  </si>
  <si>
    <t>BURWOOD BEACH WWTW - EMM TELE 2016-17</t>
  </si>
  <si>
    <t>BURWOOD BEACH WWTW-MACHINE GUARDING 2017</t>
  </si>
  <si>
    <t>BURWOOD BEACH WWTW - RAS PUMP 6</t>
  </si>
  <si>
    <t>MARYVILLE 1 SPS - FENCE</t>
  </si>
  <si>
    <t>JESMOND 1 SPS - PLC CODE</t>
  </si>
  <si>
    <t>DUDLEY 1 SPS - PLC/RTU REPLACEMENT</t>
  </si>
  <si>
    <t>BIRMINGHAM GDS 1 SPS - PLC/RTU REPLACE</t>
  </si>
  <si>
    <t>BURWOOD BEACH WWTW - SWITCHROOM A/C 2</t>
  </si>
  <si>
    <t>DUDLEY 3  SPS - MONORAIL RECERT</t>
  </si>
  <si>
    <t>MAYFIELD WEST 1 SPS - MONORAIL RECERT</t>
  </si>
  <si>
    <t>BURWOOD BEACH WWTW - RAS PUMP 8</t>
  </si>
  <si>
    <t>BURWOOD BEACH WWTW - RAS PUMP 4</t>
  </si>
  <si>
    <t>NEWCASTLE WEST 1 SPS - PUMP 2 SOFT START</t>
  </si>
  <si>
    <t>DUDLEY 7 SPS - PLC/RTU REPLACEMENT</t>
  </si>
  <si>
    <t>BURWOOD BEACH WWTW - VSD REPLACE</t>
  </si>
  <si>
    <t>BURWOOD BEACH WWTW - THEATRETTE AC'S</t>
  </si>
  <si>
    <t>BURWOOD BEACH WWTW - ABF TOWER FLOOR</t>
  </si>
  <si>
    <t>BIRMINGHAM GDS 1 SPS - TELEMETRY RADIO</t>
  </si>
  <si>
    <t>CARRINGTON 1 SPS - TELEMETRY RADIO</t>
  </si>
  <si>
    <t>CARRINGTON 2 SPS - TELEMETRY RADIO</t>
  </si>
  <si>
    <t>CARRINGTON 3 SPS - TELEMETRY RADIO</t>
  </si>
  <si>
    <t>CARRINGTON 4 SPS - TELEMETRY RADIO</t>
  </si>
  <si>
    <t>DUDLEY 1  SPS - TELEMETRY RADIO</t>
  </si>
  <si>
    <t>DUDLEY 2  SPS - TELEMETRY RADIO</t>
  </si>
  <si>
    <t>DUDLEY 3  SPS - TELEMETRY RADIO</t>
  </si>
  <si>
    <t>DUDLEY 4  SPS - TELEMETRY RADIO</t>
  </si>
  <si>
    <t>DUDLEY 5  SPS - TELEMETRY RADIO</t>
  </si>
  <si>
    <t>DUDLEY 6 SPS - TELEMETRY RADIO</t>
  </si>
  <si>
    <t>DUDLEY 7  SPS - TELEMETRY RADIO</t>
  </si>
  <si>
    <t>JESMOND 1 SPS - TELEMETRY RADIO</t>
  </si>
  <si>
    <t>KOTARA 1 SPS - TELEMETRY RADIO</t>
  </si>
  <si>
    <t>MARYVILLE 1 SPS - TELEMETRY RADIO</t>
  </si>
  <si>
    <t>MARYVILLE 2 SPS - TELEMETRY RADIO</t>
  </si>
  <si>
    <t>MAYFIELD 1 S'FLOW SPS - SHAFT 23 RADIO</t>
  </si>
  <si>
    <t>MAYFIELD 1 S'FLOW SPS - TELEMETRY RADIO</t>
  </si>
  <si>
    <t>MAYFIELD WEST 1 SPS - TELEMETRY RADIO</t>
  </si>
  <si>
    <t>MAYFIELD WEST 5 SPS - TELEMETRY RADIO</t>
  </si>
  <si>
    <t>CARRINGTON 4 SPS - LEVEL CONTROL UPGRADE</t>
  </si>
  <si>
    <t>BURWOOD BEACH WWTW - EMM ELEC 2017-18</t>
  </si>
  <si>
    <t>BURWOOD BEACH WWTW - EMM MECH 2017-18</t>
  </si>
  <si>
    <t>CARRINGTON 4 SPS - PUMP 2 MOTOR OVERHAUL</t>
  </si>
  <si>
    <t>NEWCASTLE 5 SPS - WET WELL LIDS UPGRADE</t>
  </si>
  <si>
    <t>Gravity Linear Asset in Burwood Beach DSP Area - 1800mm</t>
  </si>
  <si>
    <t>BURWOOD BEACH WWTW - LEVEL SENSOR</t>
  </si>
  <si>
    <t>BURWOOD BEACH WWTW - FLOW GUAGING</t>
  </si>
  <si>
    <t>BURWOOD BEACH WWTW - GRIT PUMP 1</t>
  </si>
  <si>
    <t>CARRINGTON 4 SPS - NEW VALVES</t>
  </si>
  <si>
    <t>DUDLEY 2 SPS - REPLACE STATION VALVES</t>
  </si>
  <si>
    <t>NEWCASTLE EAST 1 SPS- REPLACE PUMP CHAIN</t>
  </si>
  <si>
    <t>BURWOOD BEACH WWTW - BLOWER BLD REPLACE</t>
  </si>
  <si>
    <t>BURWOOD WWTW - RAS PUMP 5 OVERHAUL</t>
  </si>
  <si>
    <t>BURWOOD BEACH WWTW -S'HOUSE IMPROVEMENTS</t>
  </si>
  <si>
    <t>BURWOOD BEACH WWTW - EMM ELEC 2018-19</t>
  </si>
  <si>
    <t>BURWOOD BEACH WWTW - EMM MECH 2018-19</t>
  </si>
  <si>
    <t>NEWCASTLE WEST 1 SPS - DOORWAY MOD'S</t>
  </si>
  <si>
    <t>BURWOOD BEACH WWTW- CRANE BUSBAR REPLACE</t>
  </si>
  <si>
    <t>CARRINGTON 1 SPS - TELEM UPGRADE</t>
  </si>
  <si>
    <t>CARRINGTON 2 SPS - TELEM UPGRADE</t>
  </si>
  <si>
    <t>DUDLEY 2 SPS - TELEM UPGRADE</t>
  </si>
  <si>
    <t>DUDLEY 3 SPS - TELEM UPGRADE</t>
  </si>
  <si>
    <t>DUDLEY 4 SPS - TELEM UPGRADE</t>
  </si>
  <si>
    <t>KOTARA 1 SPS - TELEM UPGRADE</t>
  </si>
  <si>
    <t>MAYFIELD STORMFLOW SPS - TELEM SHAFT 23</t>
  </si>
  <si>
    <t>MAYFIELD STORMFLOW SPS - TELEM UPGRADE</t>
  </si>
  <si>
    <t>MAYFIELD WEST 5 SPS - TELEM UPGRADE</t>
  </si>
  <si>
    <t>NEWCASTLE 4 SPS - TELEM UPGRADE</t>
  </si>
  <si>
    <t>TIGHES HILL 1 SPS - TELEM UPGRADE</t>
  </si>
  <si>
    <t>NEWCASTLE WEST 1 SPS - ERS O'FLOW TELEM</t>
  </si>
  <si>
    <t>NEWCASTLE WEST 1 SPS - TELEMETRY</t>
  </si>
  <si>
    <t>BURWOOD BEACH WWTW - PPS OTHER MECH</t>
  </si>
  <si>
    <t>B'BEACH WWTP - REPLACE ODOUR BED MEDIA</t>
  </si>
  <si>
    <t>BURWOOD BEACH WWTW - UV WIPERS</t>
  </si>
  <si>
    <t>B'BEACH WWTP - S'HOUSE SCREW CONV 1</t>
  </si>
  <si>
    <t>B'BEACH WWTP - SCREENHOUSE IMPROVEMENTS</t>
  </si>
  <si>
    <t>BURWOOD BEACH WWTW - UV LAMPS</t>
  </si>
  <si>
    <t>Burwood Beach WWTW - Bioreactor Aeration Upgrade</t>
  </si>
  <si>
    <t>Wallsend 2 Stormflow Pump Station &amp; Rising Main</t>
  </si>
  <si>
    <t>Burwood Beach WWTW Upgrade - Stage 3</t>
  </si>
  <si>
    <t>Revenue per ET ($20-21)</t>
  </si>
  <si>
    <t>Operating costs per ET 
($20-21)</t>
  </si>
  <si>
    <t>All areas</t>
  </si>
  <si>
    <t>Belmont</t>
  </si>
  <si>
    <t>Boulder Bay</t>
  </si>
  <si>
    <t>Branxton</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</si>
  <si>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</si>
  <si>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</si>
  <si>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</si>
  <si>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</si>
  <si>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</si>
  <si>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</si>
  <si>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</si>
  <si>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</si>
  <si>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</si>
  <si>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</si>
  <si>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</si>
  <si>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</si>
  <si>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</si>
  <si>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</si>
  <si>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</si>
  <si>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</si>
  <si>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</si>
  <si>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</si>
  <si>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</si>
  <si>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</si>
  <si>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Rising Linear Asset in Burwood Beach DSP Area - 800mm</t>
  </si>
  <si>
    <t>Rising Linear Asset in Burwood Beach DSP Area - 400mm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</si>
</sst>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2">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0" borderId="0" xfId="0" quotePrefix="1" applyAlignment="1">
      <alignment horizontal="left" indent="2"/>
    </xf>
    <xf numFmtId="43" fontId="0" fillId="0" borderId="2" xfId="1" applyFont="1" applyBorder="1"/>
    <xf numFmtId="174" fontId="0" fillId="0" borderId="2" xfId="1" applyNumberFormat="1" applyFont="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A8D952BA-0032-4902-B64B-81911BC3DDAC}">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195</v>
      </c>
      <c r="D3" s="7"/>
      <c r="E3" s="7"/>
      <c r="F3" s="8"/>
      <c r="G3" s="8"/>
      <c r="H3" s="8"/>
      <c r="I3" s="8"/>
    </row>
    <row r="4" spans="3:9" ht="12" customHeight="1" x14ac:dyDescent="0.25">
      <c r="C4" s="7"/>
      <c r="D4" s="7"/>
      <c r="E4" s="7"/>
      <c r="F4" s="8"/>
      <c r="G4" s="8"/>
      <c r="H4" s="8"/>
      <c r="I4" s="8"/>
    </row>
    <row r="5" spans="3:9" x14ac:dyDescent="0.25">
      <c r="C5" s="6" t="s">
        <v>1</v>
      </c>
      <c r="D5" s="6"/>
      <c r="E5" s="9" t="s">
        <v>77</v>
      </c>
      <c r="F5" s="8"/>
      <c r="G5" s="8"/>
      <c r="I5" s="8"/>
    </row>
    <row r="6" spans="3:9" x14ac:dyDescent="0.25">
      <c r="C6" t="s">
        <v>2</v>
      </c>
      <c r="E6" s="67" t="s">
        <v>78</v>
      </c>
      <c r="F6" s="8"/>
      <c r="G6" s="8"/>
      <c r="I6" s="8"/>
    </row>
    <row r="8" spans="3:9" ht="15.75" customHeight="1" x14ac:dyDescent="0.25">
      <c r="C8" s="7"/>
      <c r="D8" s="7"/>
      <c r="E8" s="7"/>
      <c r="F8" s="8"/>
      <c r="G8" s="8"/>
    </row>
    <row r="10" spans="3:9" ht="14" x14ac:dyDescent="0.3">
      <c r="C10" s="10" t="s">
        <v>3</v>
      </c>
      <c r="D10" s="10"/>
      <c r="E10" s="11"/>
    </row>
    <row r="12" spans="3:9" ht="27" customHeight="1" x14ac:dyDescent="0.25">
      <c r="C12" s="244" t="s">
        <v>205</v>
      </c>
      <c r="D12" s="244"/>
      <c r="E12" s="244"/>
      <c r="F12" s="8"/>
      <c r="G12" s="8"/>
      <c r="I12" s="8"/>
    </row>
    <row r="13" spans="3:9" x14ac:dyDescent="0.25">
      <c r="C13" s="33"/>
      <c r="D13" s="33"/>
      <c r="E13" s="33"/>
      <c r="F13" s="8"/>
      <c r="G13" s="8"/>
      <c r="I13" s="8"/>
    </row>
    <row r="14" spans="3:9" ht="35.5" customHeight="1" x14ac:dyDescent="0.25">
      <c r="C14" s="244" t="s">
        <v>238</v>
      </c>
      <c r="D14" s="244"/>
      <c r="E14" s="244"/>
      <c r="F14" s="8"/>
      <c r="G14" s="8"/>
      <c r="I14" s="8"/>
    </row>
    <row r="15" spans="3:9" ht="15" customHeight="1" x14ac:dyDescent="0.25">
      <c r="C15" s="12"/>
      <c r="D15" s="12"/>
      <c r="E15" s="8"/>
      <c r="F15" s="8"/>
      <c r="G15" s="8"/>
      <c r="I15" s="8"/>
    </row>
    <row r="16" spans="3:9" ht="15" customHeight="1" x14ac:dyDescent="0.3">
      <c r="C16" s="10" t="s">
        <v>210</v>
      </c>
      <c r="D16" s="10"/>
      <c r="E16" s="13"/>
      <c r="F16" s="8"/>
      <c r="G16" s="8"/>
      <c r="I16" s="8"/>
    </row>
    <row r="17" spans="2:9" ht="15" customHeight="1" x14ac:dyDescent="0.25">
      <c r="C17" s="12"/>
      <c r="D17" s="12"/>
      <c r="E17" s="8"/>
      <c r="F17" s="8"/>
      <c r="G17" s="8"/>
      <c r="I17" s="8"/>
    </row>
    <row r="18" spans="2:9" ht="37.5" customHeight="1" x14ac:dyDescent="0.25">
      <c r="C18" s="24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4"/>
      <c r="E18" s="244"/>
      <c r="F18" s="8"/>
      <c r="G18" s="8"/>
      <c r="I18" s="8"/>
    </row>
    <row r="19" spans="2:9" ht="6" customHeight="1" x14ac:dyDescent="0.25">
      <c r="D19" s="12"/>
      <c r="E19" s="8"/>
      <c r="F19" s="8"/>
      <c r="G19" s="8"/>
      <c r="I19" s="8"/>
    </row>
    <row r="20" spans="2:9" ht="37.5" customHeight="1" x14ac:dyDescent="0.25">
      <c r="B20" s="95"/>
      <c r="C20" s="24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4"/>
      <c r="E20" s="244"/>
      <c r="F20" s="8"/>
      <c r="G20" s="8"/>
      <c r="I20" s="8"/>
    </row>
    <row r="21" spans="2:9" x14ac:dyDescent="0.25">
      <c r="B21" s="95"/>
      <c r="C21" s="33"/>
      <c r="D21" s="33"/>
      <c r="E21" s="33"/>
      <c r="F21" s="8"/>
      <c r="G21" s="8"/>
      <c r="I21" s="8"/>
    </row>
    <row r="22" spans="2:9" ht="14" x14ac:dyDescent="0.3">
      <c r="B22" s="95"/>
      <c r="C22" s="10" t="s">
        <v>211</v>
      </c>
      <c r="D22" s="10"/>
      <c r="E22" s="13"/>
      <c r="F22" s="8"/>
      <c r="G22" s="8"/>
      <c r="I22" s="8"/>
    </row>
    <row r="23" spans="2:9" x14ac:dyDescent="0.25">
      <c r="D23" s="12"/>
      <c r="E23" s="8"/>
      <c r="F23" s="8"/>
      <c r="G23" s="8"/>
      <c r="I23" s="8"/>
    </row>
    <row r="24" spans="2:9" x14ac:dyDescent="0.25">
      <c r="C24" s="6" t="s">
        <v>215</v>
      </c>
      <c r="D24" s="12"/>
      <c r="E24" s="8"/>
      <c r="F24" s="8"/>
      <c r="G24" s="8"/>
      <c r="I24" s="8"/>
    </row>
    <row r="25" spans="2:9" ht="6" customHeight="1" x14ac:dyDescent="0.25">
      <c r="D25" s="12"/>
      <c r="E25" s="8"/>
      <c r="F25" s="8"/>
      <c r="G25" s="8"/>
      <c r="I25" s="8"/>
    </row>
    <row r="26" spans="2:9" ht="15" customHeight="1" x14ac:dyDescent="0.25">
      <c r="C26" s="245" t="s">
        <v>79</v>
      </c>
      <c r="D26" s="245"/>
      <c r="E26" s="245"/>
      <c r="F26" s="8"/>
      <c r="G26" s="8"/>
      <c r="H26" s="8"/>
      <c r="I26" s="8"/>
    </row>
    <row r="27" spans="2:9" ht="6" customHeight="1" x14ac:dyDescent="0.25">
      <c r="D27" s="12"/>
      <c r="E27" s="8"/>
      <c r="F27" s="8"/>
      <c r="G27" s="8"/>
      <c r="H27" s="8"/>
      <c r="I27" s="8"/>
    </row>
    <row r="28" spans="2:9" ht="15" customHeight="1" x14ac:dyDescent="0.25">
      <c r="C28" s="96" t="s">
        <v>102</v>
      </c>
      <c r="D28" s="68" t="str">
        <f ca="1">MID(CELL("filename",'General inputs'!$A$1),FIND("]",CELL("filename",'General inputs'!$A$1))+1,255)</f>
        <v>General inputs</v>
      </c>
      <c r="E28" s="8"/>
      <c r="F28" s="8"/>
      <c r="G28" s="8"/>
      <c r="H28" s="8"/>
      <c r="I28" s="8"/>
    </row>
    <row r="29" spans="2:9" ht="15" customHeight="1" x14ac:dyDescent="0.25">
      <c r="C29" s="96" t="s">
        <v>102</v>
      </c>
      <c r="D29" s="8" t="str">
        <f ca="1">MID(CELL("filename",'Pre-1996 assets'!$A$1),FIND("]",CELL("filename",'Pre-1996 assets'!$A$1))+1,255)</f>
        <v>Pre-1996 assets</v>
      </c>
      <c r="E29" s="8"/>
      <c r="F29" s="8"/>
      <c r="G29" s="8"/>
      <c r="H29" s="8"/>
      <c r="I29" s="8"/>
    </row>
    <row r="30" spans="2:9" ht="15" customHeight="1" x14ac:dyDescent="0.25">
      <c r="C30" s="96" t="s">
        <v>102</v>
      </c>
      <c r="D30" s="8" t="str">
        <f ca="1">MID(CELL("filename",'Post-1996 commissioned assets'!$A$1),FIND("]",CELL("filename",'Post-1996 commissioned assets'!$A$1))+1,255)</f>
        <v>Post-1996 commissioned assets</v>
      </c>
      <c r="E30" s="8"/>
      <c r="F30" s="8"/>
      <c r="G30" s="8"/>
      <c r="H30" s="8"/>
      <c r="I30" s="8"/>
    </row>
    <row r="31" spans="2:9" ht="15" customHeight="1" x14ac:dyDescent="0.25">
      <c r="C31" s="96" t="s">
        <v>102</v>
      </c>
      <c r="D31" s="8" t="str">
        <f ca="1">MID(CELL("filename",'Uncommissioned assets'!$A$1),FIND("]",CELL("filename",'Uncommissioned assets'!$A$1))+1,255)</f>
        <v>Uncommissioned assets</v>
      </c>
      <c r="E31" s="8"/>
      <c r="F31" s="8"/>
      <c r="G31" s="8"/>
      <c r="H31" s="8"/>
      <c r="I31" s="8"/>
    </row>
    <row r="32" spans="2:9" ht="15" customHeight="1" x14ac:dyDescent="0.25">
      <c r="C32" s="96" t="s">
        <v>102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68</v>
      </c>
      <c r="F34" s="8"/>
      <c r="G34" s="8"/>
      <c r="H34" s="8"/>
      <c r="I34" s="8"/>
    </row>
    <row r="35" spans="3:9" ht="6" customHeight="1" x14ac:dyDescent="0.25">
      <c r="C35" s="33"/>
      <c r="D35" s="33"/>
      <c r="E35" s="33"/>
      <c r="F35" s="8"/>
      <c r="G35" s="8"/>
      <c r="H35" s="8"/>
      <c r="I35" s="8"/>
    </row>
    <row r="36" spans="3:9" ht="15" customHeight="1" x14ac:dyDescent="0.25">
      <c r="C36" s="244" t="s">
        <v>103</v>
      </c>
      <c r="D36" s="244"/>
      <c r="E36" s="244"/>
      <c r="F36" s="8"/>
      <c r="G36" s="8"/>
      <c r="H36" s="8"/>
      <c r="I36" s="8"/>
    </row>
    <row r="37" spans="3:9" ht="6" customHeight="1" x14ac:dyDescent="0.25">
      <c r="D37" s="12"/>
      <c r="E37" s="8"/>
      <c r="F37" s="8"/>
      <c r="G37" s="8"/>
      <c r="H37" s="8"/>
      <c r="I37" s="8"/>
    </row>
    <row r="38" spans="3:9" ht="15" customHeight="1" x14ac:dyDescent="0.25">
      <c r="C38" s="97" t="s">
        <v>102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4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4"/>
      <c r="E40" s="244"/>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104</v>
      </c>
      <c r="D44" s="8"/>
      <c r="E44" s="8"/>
      <c r="F44" s="8"/>
      <c r="G44" s="8"/>
      <c r="H44" s="8"/>
      <c r="I44" s="8"/>
    </row>
    <row r="45" spans="3:9" ht="6" customHeight="1" x14ac:dyDescent="0.25">
      <c r="C45" s="6"/>
      <c r="D45" s="8"/>
      <c r="E45" s="8"/>
      <c r="F45" s="8"/>
      <c r="G45" s="8"/>
      <c r="H45" s="8"/>
      <c r="I45" s="8"/>
    </row>
    <row r="46" spans="3:9" ht="15" customHeight="1" x14ac:dyDescent="0.25">
      <c r="C46" s="244" t="s">
        <v>105</v>
      </c>
      <c r="D46" s="244"/>
      <c r="E46" s="244"/>
      <c r="F46" s="8"/>
      <c r="G46" s="8"/>
      <c r="H46" s="8"/>
      <c r="I46" s="8"/>
    </row>
    <row r="47" spans="3:9" ht="6" customHeight="1" x14ac:dyDescent="0.25">
      <c r="C47" s="33"/>
      <c r="D47" s="33"/>
      <c r="E47" s="33"/>
      <c r="F47" s="8"/>
      <c r="G47" s="8"/>
      <c r="H47" s="8"/>
      <c r="I47" s="8"/>
    </row>
    <row r="48" spans="3:9" ht="15" customHeight="1" x14ac:dyDescent="0.25">
      <c r="C48" s="97" t="s">
        <v>102</v>
      </c>
      <c r="D48" s="8" t="str">
        <f ca="1">MID(CELL("filename",'Headwork assets'!$A$1),FIND("]",CELL("filename",'Headwork assets'!$A$1))+1,255)</f>
        <v>Headwork assets</v>
      </c>
      <c r="E48" s="8"/>
      <c r="F48" s="8"/>
      <c r="G48" s="8"/>
      <c r="H48" s="8"/>
      <c r="I48" s="8"/>
    </row>
    <row r="49" spans="3:9" ht="6" customHeight="1" x14ac:dyDescent="0.25">
      <c r="C49" s="97"/>
      <c r="D49" s="8"/>
      <c r="E49" s="8"/>
      <c r="F49" s="8"/>
      <c r="G49" s="8"/>
      <c r="H49" s="8"/>
      <c r="I49" s="8"/>
    </row>
    <row r="50" spans="3:9" ht="15" customHeight="1" x14ac:dyDescent="0.25">
      <c r="C50" s="245" t="s">
        <v>106</v>
      </c>
      <c r="D50" s="245"/>
      <c r="E50" s="245"/>
      <c r="F50" s="8"/>
      <c r="G50" s="8"/>
      <c r="H50" s="8"/>
      <c r="I50" s="8"/>
    </row>
    <row r="51" spans="3:9" ht="6" customHeight="1" x14ac:dyDescent="0.25">
      <c r="F51" s="8"/>
      <c r="G51" s="8"/>
      <c r="H51" s="8"/>
      <c r="I51" s="8"/>
    </row>
    <row r="52" spans="3:9" ht="24" customHeight="1" x14ac:dyDescent="0.25">
      <c r="C52" s="244" t="s">
        <v>84</v>
      </c>
      <c r="D52" s="244"/>
      <c r="E52" s="244"/>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212</v>
      </c>
      <c r="D56" s="8"/>
      <c r="E56" s="8"/>
      <c r="F56" s="8"/>
      <c r="G56" s="8"/>
      <c r="H56" s="8"/>
      <c r="I56" s="8"/>
    </row>
    <row r="57" spans="3:9" ht="6" customHeight="1" x14ac:dyDescent="0.25">
      <c r="C57" s="6"/>
      <c r="D57" s="8"/>
      <c r="E57" s="8"/>
      <c r="F57" s="8"/>
      <c r="G57" s="8"/>
      <c r="H57" s="8"/>
      <c r="I57" s="8"/>
    </row>
    <row r="58" spans="3:9" ht="15" customHeight="1" x14ac:dyDescent="0.25">
      <c r="C58" s="244" t="s">
        <v>213</v>
      </c>
      <c r="D58" s="244"/>
      <c r="E58" s="244"/>
      <c r="F58" s="8"/>
      <c r="G58" s="8"/>
      <c r="H58" s="8"/>
      <c r="I58" s="8"/>
    </row>
    <row r="59" spans="3:9" ht="6" customHeight="1" x14ac:dyDescent="0.25">
      <c r="C59" s="33"/>
      <c r="D59" s="33"/>
      <c r="E59" s="33"/>
      <c r="F59" s="8"/>
      <c r="G59" s="8"/>
      <c r="H59" s="8"/>
      <c r="I59" s="8"/>
    </row>
    <row r="60" spans="3:9" ht="15" customHeight="1" x14ac:dyDescent="0.25">
      <c r="C60" s="97" t="s">
        <v>102</v>
      </c>
      <c r="D60" s="8" t="str">
        <f ca="1">MID(CELL("filename",'Scheme cost allocation'!$A$1),FIND("]",CELL("filename",'Scheme cost allocation'!$A$1))+1,255)</f>
        <v>Scheme cost allocation</v>
      </c>
      <c r="E60" s="8"/>
      <c r="F60" s="8"/>
      <c r="G60" s="8"/>
      <c r="H60" s="8"/>
      <c r="I60" s="8"/>
    </row>
    <row r="61" spans="3:9" ht="6" customHeight="1" x14ac:dyDescent="0.25">
      <c r="C61" s="97"/>
      <c r="D61" s="8"/>
      <c r="E61" s="8"/>
      <c r="F61" s="8"/>
      <c r="G61" s="8"/>
      <c r="H61" s="8"/>
      <c r="I61" s="8"/>
    </row>
    <row r="62" spans="3:9" ht="15" customHeight="1" x14ac:dyDescent="0.25">
      <c r="C62" s="245" t="s">
        <v>214</v>
      </c>
      <c r="D62" s="245"/>
      <c r="E62" s="245"/>
      <c r="F62" s="8"/>
      <c r="G62" s="8"/>
      <c r="H62" s="8"/>
      <c r="I62" s="8"/>
    </row>
    <row r="63" spans="3:9" ht="6" customHeight="1" x14ac:dyDescent="0.25">
      <c r="F63" s="8"/>
      <c r="G63" s="8"/>
      <c r="H63" s="8"/>
      <c r="I63" s="8"/>
    </row>
    <row r="64" spans="3:9" ht="24" customHeight="1" x14ac:dyDescent="0.25">
      <c r="C64" s="244" t="s">
        <v>84</v>
      </c>
      <c r="D64" s="244"/>
      <c r="E64" s="244"/>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191</v>
      </c>
      <c r="D68" s="6"/>
      <c r="E68" s="98"/>
      <c r="F68" s="8"/>
      <c r="G68" s="8"/>
      <c r="H68" s="8"/>
      <c r="I68" s="8"/>
    </row>
    <row r="69" spans="3:9" ht="6" customHeight="1" x14ac:dyDescent="0.25">
      <c r="C69" s="6"/>
      <c r="D69" s="6"/>
      <c r="E69" s="98"/>
      <c r="F69" s="8"/>
      <c r="G69" s="8"/>
      <c r="H69" s="8"/>
      <c r="I69" s="8"/>
    </row>
    <row r="70" spans="3:9" ht="15" customHeight="1" x14ac:dyDescent="0.25">
      <c r="C70" s="4" t="s">
        <v>192</v>
      </c>
      <c r="D70" s="6"/>
      <c r="E70" s="98"/>
      <c r="F70" s="8"/>
      <c r="G70" s="8"/>
      <c r="H70" s="8"/>
      <c r="I70" s="8"/>
    </row>
    <row r="71" spans="3:9" ht="6" customHeight="1" x14ac:dyDescent="0.25">
      <c r="C71" s="4"/>
      <c r="D71" s="6"/>
      <c r="E71" s="98"/>
      <c r="F71" s="8"/>
      <c r="G71" s="8"/>
      <c r="H71" s="8"/>
      <c r="I71" s="8"/>
    </row>
    <row r="72" spans="3:9" x14ac:dyDescent="0.25">
      <c r="C72" s="97" t="s">
        <v>102</v>
      </c>
      <c r="D72" s="68" t="str">
        <f ca="1">MID(CELL("filename",'MP Calculations'!A8),FIND("]",CELL("filename",'MP Calculations'!A8))+1,255)</f>
        <v>MP Calculations</v>
      </c>
      <c r="E72" s="98"/>
      <c r="F72" s="8"/>
      <c r="G72" s="8"/>
      <c r="H72" s="8"/>
      <c r="I72" s="8"/>
    </row>
    <row r="73" spans="3:9" x14ac:dyDescent="0.25">
      <c r="C73" s="97" t="s">
        <v>102</v>
      </c>
      <c r="D73" s="68" t="str">
        <f ca="1">MID(CELL("filename",'Summary of result'!A11),FIND("]",CELL("filename",'Summary of result'!A11))+1,255)</f>
        <v>Summary of result</v>
      </c>
      <c r="E73" s="98"/>
      <c r="F73" s="8"/>
      <c r="G73" s="8"/>
      <c r="H73" s="8"/>
      <c r="I73" s="8"/>
    </row>
    <row r="74" spans="3:9" ht="6" customHeight="1" x14ac:dyDescent="0.25">
      <c r="C74" s="97"/>
      <c r="D74" s="68"/>
      <c r="E74" s="98"/>
      <c r="F74" s="8"/>
      <c r="G74" s="8"/>
      <c r="H74" s="8"/>
      <c r="I74" s="8"/>
    </row>
    <row r="75" spans="3:9" x14ac:dyDescent="0.25">
      <c r="C75" s="244" t="s">
        <v>196</v>
      </c>
      <c r="D75" s="244"/>
      <c r="E75" s="244"/>
      <c r="F75" s="8"/>
      <c r="G75" s="8"/>
      <c r="H75" s="8"/>
      <c r="I75" s="8"/>
    </row>
    <row r="76" spans="3:9" ht="15" customHeight="1" x14ac:dyDescent="0.25">
      <c r="D76" s="12"/>
      <c r="E76" s="8"/>
      <c r="F76" s="8"/>
      <c r="G76" s="8"/>
      <c r="H76" s="8"/>
      <c r="I76" s="8"/>
    </row>
    <row r="77" spans="3:9" ht="15" customHeight="1" x14ac:dyDescent="0.25">
      <c r="C77" s="6" t="s">
        <v>107</v>
      </c>
      <c r="D77" s="12"/>
      <c r="E77" s="8"/>
      <c r="F77" s="8"/>
      <c r="G77" s="8"/>
      <c r="H77" s="8"/>
      <c r="I77" s="8"/>
    </row>
    <row r="78" spans="3:9" ht="6" customHeight="1" x14ac:dyDescent="0.25">
      <c r="D78" s="12"/>
      <c r="E78" s="8"/>
      <c r="F78" s="8"/>
      <c r="G78" s="8"/>
      <c r="H78" s="8"/>
      <c r="I78" s="8"/>
    </row>
    <row r="79" spans="3:9" ht="15" customHeight="1" x14ac:dyDescent="0.25">
      <c r="C79" s="8" t="s">
        <v>108</v>
      </c>
      <c r="D79" s="12"/>
      <c r="E79" s="8"/>
      <c r="F79" s="8"/>
      <c r="G79" s="8"/>
      <c r="H79" s="8"/>
      <c r="I79" s="8"/>
    </row>
    <row r="80" spans="3:9" ht="6" customHeight="1" x14ac:dyDescent="0.25">
      <c r="C80" s="8"/>
      <c r="D80" s="12"/>
      <c r="E80" s="8"/>
      <c r="F80" s="8"/>
      <c r="G80" s="8"/>
      <c r="H80" s="8"/>
      <c r="I80" s="8"/>
    </row>
    <row r="81" spans="3:9" ht="15" customHeight="1" x14ac:dyDescent="0.25">
      <c r="C81" s="97" t="s">
        <v>102</v>
      </c>
      <c r="D81" s="68"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8" t="s">
        <v>193</v>
      </c>
      <c r="D83" s="12"/>
      <c r="E83" s="8"/>
      <c r="F83" s="8"/>
      <c r="G83" s="8"/>
      <c r="H83" s="8"/>
      <c r="I83" s="8"/>
    </row>
    <row r="84" spans="3:9" ht="15" customHeight="1" x14ac:dyDescent="0.25">
      <c r="C84" s="97" t="s">
        <v>102</v>
      </c>
      <c r="D84" s="101" t="s">
        <v>114</v>
      </c>
      <c r="F84" s="8"/>
      <c r="G84" s="8"/>
      <c r="H84" s="8"/>
      <c r="I84" s="8"/>
    </row>
    <row r="85" spans="3:9" ht="15" customHeight="1" x14ac:dyDescent="0.25">
      <c r="C85" s="97" t="s">
        <v>102</v>
      </c>
      <c r="D85" s="156" t="s">
        <v>233</v>
      </c>
      <c r="F85" s="8"/>
      <c r="G85" s="8"/>
      <c r="H85" s="8"/>
      <c r="I85" s="8"/>
    </row>
    <row r="86" spans="3:9" ht="15" customHeight="1" x14ac:dyDescent="0.25">
      <c r="C86" s="97"/>
      <c r="D86" s="156"/>
      <c r="F86" s="8"/>
      <c r="G86" s="8"/>
      <c r="H86" s="8"/>
      <c r="I86" s="8"/>
    </row>
    <row r="87" spans="3:9" ht="15" customHeight="1" x14ac:dyDescent="0.25">
      <c r="C87" s="8" t="s">
        <v>239</v>
      </c>
      <c r="D87" s="156"/>
      <c r="F87" s="8"/>
      <c r="G87" s="8"/>
      <c r="H87" s="8"/>
      <c r="I87" s="8"/>
    </row>
    <row r="88" spans="3:9" ht="15" customHeight="1" x14ac:dyDescent="0.25">
      <c r="C88" s="8"/>
      <c r="D88" s="156"/>
      <c r="F88" s="8"/>
      <c r="G88" s="8"/>
      <c r="H88" s="8"/>
      <c r="I88" s="8"/>
    </row>
    <row r="89" spans="3:9" ht="15" customHeight="1" x14ac:dyDescent="0.25">
      <c r="C89" s="12"/>
      <c r="D89" s="12"/>
      <c r="E89" s="8"/>
      <c r="F89" s="8"/>
      <c r="G89" s="8"/>
      <c r="H89" s="8"/>
      <c r="I89" s="8"/>
    </row>
    <row r="90" spans="3:9" ht="15" customHeight="1" x14ac:dyDescent="0.3">
      <c r="C90" s="10" t="s">
        <v>4</v>
      </c>
      <c r="D90" s="10"/>
      <c r="E90" s="13"/>
      <c r="F90" s="8"/>
      <c r="G90" s="8"/>
      <c r="H90" s="8"/>
      <c r="I90" s="8"/>
    </row>
    <row r="91" spans="3:9" ht="15" customHeight="1" x14ac:dyDescent="0.25">
      <c r="C91" s="4" t="s">
        <v>5</v>
      </c>
      <c r="D91" s="4"/>
      <c r="E91" s="8"/>
      <c r="F91" s="8"/>
      <c r="G91" s="8"/>
      <c r="H91" s="8"/>
      <c r="I91" s="8"/>
    </row>
    <row r="92" spans="3:9" ht="15" customHeight="1" x14ac:dyDescent="0.25">
      <c r="C92" s="14" t="s">
        <v>6</v>
      </c>
      <c r="D92" s="14"/>
      <c r="E92" s="14"/>
      <c r="F92" s="8"/>
      <c r="G92" s="8"/>
      <c r="H92" s="8"/>
      <c r="I92" s="8"/>
    </row>
    <row r="93" spans="3:9" ht="15" customHeight="1" x14ac:dyDescent="0.25">
      <c r="C93" s="3" t="s">
        <v>7</v>
      </c>
      <c r="D93" s="15"/>
      <c r="E93" s="15"/>
      <c r="F93" s="8"/>
      <c r="G93" s="8"/>
      <c r="H93" s="8"/>
      <c r="I93" s="8"/>
    </row>
    <row r="94" spans="3:9" ht="15" customHeight="1" x14ac:dyDescent="0.3">
      <c r="C94" s="4"/>
      <c r="D94" s="4"/>
      <c r="E94" s="4" t="s">
        <v>8</v>
      </c>
      <c r="F94" s="8"/>
      <c r="G94" s="8"/>
      <c r="H94" s="8"/>
      <c r="I94" s="8"/>
    </row>
    <row r="95" spans="3:9" ht="15" customHeight="1" x14ac:dyDescent="0.25">
      <c r="C95" s="91" t="s">
        <v>100</v>
      </c>
      <c r="D95" s="92"/>
      <c r="E95" s="92"/>
      <c r="F95" s="8"/>
      <c r="G95" s="8"/>
      <c r="H95" s="8"/>
      <c r="I95" s="8"/>
    </row>
    <row r="96" spans="3:9" ht="15" customHeight="1" x14ac:dyDescent="0.25">
      <c r="C96" s="16" t="s">
        <v>9</v>
      </c>
      <c r="D96" s="16"/>
      <c r="E96" s="16"/>
      <c r="F96" s="8"/>
      <c r="G96" s="8"/>
      <c r="H96" s="8"/>
      <c r="I96" s="8"/>
    </row>
    <row r="97" spans="3:9" ht="15" customHeight="1" x14ac:dyDescent="0.25">
      <c r="C97" s="17" t="s">
        <v>0</v>
      </c>
      <c r="D97" s="17"/>
      <c r="E97" s="17"/>
      <c r="F97" s="8"/>
      <c r="G97" s="8"/>
      <c r="H97" s="8"/>
      <c r="I97" s="8"/>
    </row>
    <row r="98" spans="3:9" ht="15" customHeight="1" x14ac:dyDescent="0.25">
      <c r="C98" s="18" t="s">
        <v>10</v>
      </c>
      <c r="D98" s="18"/>
      <c r="E98" s="19"/>
      <c r="F98" s="8"/>
      <c r="G98" s="8"/>
      <c r="H98" s="8"/>
      <c r="I98" s="8"/>
    </row>
    <row r="99" spans="3:9" ht="15" customHeight="1" x14ac:dyDescent="0.25">
      <c r="C99" s="20" t="s">
        <v>11</v>
      </c>
      <c r="D99" s="20"/>
      <c r="E99" s="21"/>
      <c r="F99" s="8"/>
      <c r="G99" s="8"/>
      <c r="H99" s="8"/>
      <c r="I99" s="8"/>
    </row>
    <row r="100" spans="3:9" ht="15" customHeight="1" x14ac:dyDescent="0.25">
      <c r="C100" s="22" t="s">
        <v>80</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232</v>
      </c>
    </row>
    <row r="5" spans="3:7" x14ac:dyDescent="0.25">
      <c r="C5" s="6" t="s">
        <v>220</v>
      </c>
      <c r="D5" s="6" t="s">
        <v>221</v>
      </c>
      <c r="E5" s="6" t="s">
        <v>222</v>
      </c>
      <c r="F5" s="6" t="s">
        <v>223</v>
      </c>
      <c r="G5" s="6" t="s">
        <v>228</v>
      </c>
    </row>
    <row r="6" spans="3:7" ht="34.5" x14ac:dyDescent="0.25">
      <c r="C6" s="152" t="s">
        <v>224</v>
      </c>
      <c r="D6" s="152" t="s">
        <v>229</v>
      </c>
      <c r="E6" s="152" t="s">
        <v>225</v>
      </c>
      <c r="F6" s="153" t="s">
        <v>226</v>
      </c>
      <c r="G6" s="154">
        <v>43678</v>
      </c>
    </row>
    <row r="7" spans="3:7" ht="23" x14ac:dyDescent="0.25">
      <c r="C7" s="152" t="s">
        <v>224</v>
      </c>
      <c r="D7" s="152" t="s">
        <v>230</v>
      </c>
      <c r="E7" s="152" t="s">
        <v>227</v>
      </c>
      <c r="F7" s="153" t="s">
        <v>226</v>
      </c>
      <c r="G7" s="154">
        <v>43678</v>
      </c>
    </row>
    <row r="8" spans="3:7" ht="46" x14ac:dyDescent="0.25">
      <c r="C8" s="152" t="s">
        <v>235</v>
      </c>
      <c r="D8" s="152" t="s">
        <v>231</v>
      </c>
      <c r="E8" s="152" t="s">
        <v>267</v>
      </c>
      <c r="F8" s="153" t="s">
        <v>226</v>
      </c>
      <c r="G8" s="154">
        <v>43678</v>
      </c>
    </row>
    <row r="9" spans="3:7" ht="34.5" x14ac:dyDescent="0.25">
      <c r="C9" s="152" t="s">
        <v>269</v>
      </c>
      <c r="D9" s="152" t="s">
        <v>270</v>
      </c>
      <c r="E9" s="152" t="s">
        <v>271</v>
      </c>
      <c r="F9" s="153" t="s">
        <v>272</v>
      </c>
      <c r="G9" s="154">
        <v>44805</v>
      </c>
    </row>
    <row r="10" spans="3:7" x14ac:dyDescent="0.25">
      <c r="C10" s="152"/>
      <c r="D10" s="152"/>
      <c r="E10" s="152"/>
      <c r="F10" s="153"/>
      <c r="G10" s="154"/>
    </row>
    <row r="11" spans="3:7" x14ac:dyDescent="0.25">
      <c r="C11" s="152"/>
      <c r="D11" s="152"/>
      <c r="E11" s="152"/>
      <c r="F11" s="153"/>
      <c r="G11" s="154"/>
    </row>
    <row r="12" spans="3:7" x14ac:dyDescent="0.25">
      <c r="C12" s="152"/>
      <c r="D12" s="152"/>
      <c r="E12" s="152"/>
      <c r="F12" s="153"/>
      <c r="G12" s="154"/>
    </row>
    <row r="13" spans="3:7" x14ac:dyDescent="0.25">
      <c r="C13" s="152"/>
      <c r="D13" s="152"/>
      <c r="E13" s="152"/>
      <c r="F13" s="153"/>
      <c r="G13" s="154"/>
    </row>
    <row r="14" spans="3:7" x14ac:dyDescent="0.25">
      <c r="C14" s="152"/>
      <c r="D14" s="152"/>
      <c r="E14" s="152"/>
      <c r="F14" s="153"/>
      <c r="G14" s="154"/>
    </row>
    <row r="15" spans="3:7" x14ac:dyDescent="0.25">
      <c r="C15" s="152"/>
      <c r="D15" s="152"/>
      <c r="E15" s="152"/>
      <c r="F15" s="153"/>
      <c r="G15" s="154"/>
    </row>
    <row r="16" spans="3:7" x14ac:dyDescent="0.25">
      <c r="C16" s="152"/>
      <c r="D16" s="152"/>
      <c r="E16" s="152"/>
      <c r="F16" s="153"/>
      <c r="G16" s="154"/>
    </row>
    <row r="17" spans="3:7" x14ac:dyDescent="0.25">
      <c r="C17" s="152"/>
      <c r="D17" s="152"/>
      <c r="E17" s="152"/>
      <c r="F17" s="153"/>
      <c r="G17" s="154"/>
    </row>
    <row r="18" spans="3:7" x14ac:dyDescent="0.25">
      <c r="C18" s="152"/>
      <c r="D18" s="152"/>
      <c r="E18" s="152"/>
      <c r="F18" s="153"/>
      <c r="G18" s="154"/>
    </row>
    <row r="19" spans="3:7" x14ac:dyDescent="0.25">
      <c r="C19" s="152"/>
      <c r="D19" s="152"/>
      <c r="E19" s="152"/>
      <c r="F19" s="153"/>
      <c r="G19" s="154"/>
    </row>
    <row r="20" spans="3:7" x14ac:dyDescent="0.25">
      <c r="C20" s="152"/>
      <c r="D20" s="152"/>
      <c r="E20" s="152"/>
      <c r="F20" s="153"/>
      <c r="G20" s="154"/>
    </row>
    <row r="21" spans="3:7" x14ac:dyDescent="0.25">
      <c r="C21" s="152"/>
      <c r="D21" s="152"/>
      <c r="E21" s="152"/>
      <c r="F21" s="153"/>
      <c r="G21" s="154"/>
    </row>
    <row r="22" spans="3:7" x14ac:dyDescent="0.25">
      <c r="C22" s="152"/>
      <c r="D22" s="152"/>
      <c r="E22" s="152"/>
      <c r="F22" s="153"/>
      <c r="G22" s="154"/>
    </row>
    <row r="23" spans="3:7" x14ac:dyDescent="0.25">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5" t="s">
        <v>189</v>
      </c>
    </row>
    <row r="5" spans="1:17" x14ac:dyDescent="0.25">
      <c r="D5" t="s">
        <v>240</v>
      </c>
      <c r="Q5" s="155" t="s">
        <v>268</v>
      </c>
    </row>
    <row r="6" spans="1:17" x14ac:dyDescent="0.25">
      <c r="Q6" s="156"/>
    </row>
    <row r="8" spans="1:17" x14ac:dyDescent="0.25">
      <c r="D8" s="1" t="str">
        <f>"The maximum price for the new development area '"&amp;'General inputs'!H7&amp;"' is:"</f>
        <v>The maximum price for the new development area 'Burwood Beach' is:</v>
      </c>
      <c r="J8" s="64">
        <f>G19</f>
        <v>0</v>
      </c>
      <c r="K8" t="str">
        <f>"per ET ($"&amp;'General inputs'!$I$40&amp;")."</f>
        <v>per ET ($2020-21).</v>
      </c>
    </row>
    <row r="10" spans="1:17" x14ac:dyDescent="0.25">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5">
      <c r="G12" s="1"/>
    </row>
    <row r="13" spans="1:17" x14ac:dyDescent="0.25">
      <c r="D13" s="90" t="s">
        <v>190</v>
      </c>
      <c r="G13" s="1"/>
    </row>
    <row r="14" spans="1:17" x14ac:dyDescent="0.25">
      <c r="G14" s="1"/>
    </row>
    <row r="15" spans="1:17" x14ac:dyDescent="0.25">
      <c r="G15" s="1"/>
    </row>
    <row r="17" spans="4:21" x14ac:dyDescent="0.25">
      <c r="D17" t="str">
        <f>"in $, $"&amp;'General inputs'!$I$40&amp;", where:"</f>
        <v>in $, $2020-21, where:</v>
      </c>
    </row>
    <row r="19" spans="4:21" x14ac:dyDescent="0.25">
      <c r="E19" t="s">
        <v>206</v>
      </c>
      <c r="F19" s="30" t="s">
        <v>66</v>
      </c>
      <c r="G19" s="100">
        <f>IF('General inputs'!$H$42='General inputs'!$L$37,'MP Calculations'!C22,IF('General inputs'!$H$42='General inputs'!$L$38,'MP Calculations'!C22*1000,'MP Calculations'!C22*1000000))</f>
        <v>0</v>
      </c>
      <c r="H19" s="30" t="s">
        <v>66</v>
      </c>
      <c r="I19" s="148" t="s">
        <v>241</v>
      </c>
      <c r="J19" s="1"/>
      <c r="K19" s="1"/>
      <c r="L19" s="1"/>
      <c r="M19" s="1"/>
      <c r="N19" s="1"/>
      <c r="O19" s="1"/>
      <c r="P19" s="1"/>
      <c r="Q19" s="1"/>
      <c r="R19" s="1"/>
      <c r="S19" s="1"/>
      <c r="T19" s="1"/>
      <c r="U19" s="1"/>
    </row>
    <row r="20" spans="4:21" ht="13.5" x14ac:dyDescent="0.35">
      <c r="E20" t="s">
        <v>70</v>
      </c>
      <c r="F20" s="30" t="s">
        <v>66</v>
      </c>
      <c r="G20" s="100">
        <f>IF('General inputs'!$H$42='General inputs'!$L$37,'MP Calculations'!H20,IF('General inputs'!$H$42='General inputs'!$L$38,'MP Calculations'!H20*1000,'MP Calculations'!H20*1000000))</f>
        <v>54417988.961603865</v>
      </c>
      <c r="H20" s="30" t="s">
        <v>66</v>
      </c>
      <c r="I20" s="1" t="s">
        <v>169</v>
      </c>
      <c r="J20" s="1"/>
      <c r="K20" s="1"/>
      <c r="L20" s="1"/>
      <c r="M20" s="1"/>
      <c r="N20" s="1"/>
      <c r="O20" s="1"/>
      <c r="P20" s="1"/>
      <c r="Q20" s="1"/>
      <c r="R20" s="1"/>
      <c r="S20" s="1"/>
      <c r="T20" s="1"/>
      <c r="U20" s="1"/>
    </row>
    <row r="21" spans="4:21" ht="13.5" x14ac:dyDescent="0.35">
      <c r="E21" t="s">
        <v>71</v>
      </c>
      <c r="F21" s="30" t="s">
        <v>66</v>
      </c>
      <c r="G21" s="100">
        <f>IF('General inputs'!$H$42='General inputs'!$L$37,SUM('MP Calculations'!I20:K20),IF('General inputs'!$H$42='General inputs'!$L$38,SUM('MP Calculations'!I20:K20)*1000,SUM('MP Calculations'!I20:K20)*1000000))</f>
        <v>60111399.16823718</v>
      </c>
      <c r="H21" s="30" t="s">
        <v>66</v>
      </c>
      <c r="I21" s="1" t="s">
        <v>170</v>
      </c>
      <c r="J21" s="1"/>
      <c r="K21" s="1"/>
      <c r="L21" s="1"/>
      <c r="M21" s="1"/>
      <c r="N21" s="1"/>
      <c r="O21" s="1"/>
      <c r="P21" s="1"/>
      <c r="Q21" s="1"/>
      <c r="R21" s="1"/>
      <c r="S21" s="1"/>
      <c r="T21" s="1"/>
      <c r="U21" s="1"/>
    </row>
    <row r="22" spans="4:21" ht="13.5" x14ac:dyDescent="0.35">
      <c r="E22" t="s">
        <v>264</v>
      </c>
      <c r="F22" s="30" t="s">
        <v>66</v>
      </c>
      <c r="G22" s="63">
        <f>'MP Calculations'!H21</f>
        <v>28506.377818075689</v>
      </c>
      <c r="H22" s="30" t="s">
        <v>66</v>
      </c>
      <c r="I22" s="146" t="s">
        <v>171</v>
      </c>
      <c r="J22" s="147"/>
      <c r="K22" s="147"/>
      <c r="L22" s="147"/>
      <c r="M22" s="147"/>
      <c r="N22" s="147"/>
      <c r="O22" s="147"/>
      <c r="P22" s="147"/>
      <c r="Q22" s="147"/>
      <c r="R22" s="147"/>
      <c r="S22" s="147"/>
      <c r="T22" s="147"/>
      <c r="U22" s="147"/>
    </row>
    <row r="23" spans="4:21" ht="13.5" x14ac:dyDescent="0.35">
      <c r="E23" t="s">
        <v>265</v>
      </c>
      <c r="F23" s="30" t="s">
        <v>66</v>
      </c>
      <c r="G23" s="63">
        <f>'MP Calculations'!J21</f>
        <v>30574.691991735326</v>
      </c>
      <c r="H23" s="30" t="s">
        <v>66</v>
      </c>
      <c r="I23" s="146" t="s">
        <v>172</v>
      </c>
      <c r="J23" s="147"/>
      <c r="K23" s="147"/>
      <c r="L23" s="147"/>
      <c r="M23" s="147"/>
      <c r="N23" s="147"/>
      <c r="O23" s="147"/>
      <c r="P23" s="147"/>
      <c r="Q23" s="147"/>
      <c r="R23" s="147"/>
      <c r="S23" s="147"/>
      <c r="T23" s="147"/>
      <c r="U23" s="147"/>
    </row>
    <row r="24" spans="4:21" ht="13.5" x14ac:dyDescent="0.35">
      <c r="E24" t="s">
        <v>266</v>
      </c>
      <c r="F24" s="30" t="s">
        <v>66</v>
      </c>
      <c r="G24" s="63">
        <f>'MP Calculations'!L21</f>
        <v>9225.8204763618942</v>
      </c>
      <c r="H24" s="30" t="s">
        <v>66</v>
      </c>
      <c r="I24" s="146" t="s">
        <v>173</v>
      </c>
      <c r="J24" s="147"/>
      <c r="K24" s="147"/>
      <c r="L24" s="147"/>
      <c r="M24" s="147"/>
      <c r="N24" s="147"/>
      <c r="O24" s="147"/>
      <c r="P24" s="147"/>
      <c r="Q24" s="147"/>
      <c r="R24" s="147"/>
      <c r="S24" s="147"/>
      <c r="T24" s="147"/>
      <c r="U24" s="147"/>
    </row>
    <row r="25" spans="4:21" ht="13.5" x14ac:dyDescent="0.35">
      <c r="E25" t="s">
        <v>72</v>
      </c>
      <c r="F25" s="30" t="s">
        <v>66</v>
      </c>
      <c r="G25" s="100">
        <f>'MP Calculations'!R30</f>
        <v>78421911.006452605</v>
      </c>
      <c r="H25" s="30" t="s">
        <v>66</v>
      </c>
      <c r="I25" s="1" t="s">
        <v>174</v>
      </c>
      <c r="J25" s="1"/>
      <c r="K25" s="1"/>
      <c r="L25" s="1"/>
      <c r="M25" s="1"/>
      <c r="N25" s="1"/>
      <c r="O25" s="1"/>
      <c r="P25" s="1"/>
      <c r="Q25" s="1"/>
      <c r="R25" s="1"/>
      <c r="S25" s="1"/>
      <c r="T25" s="1"/>
      <c r="U25" s="1"/>
    </row>
    <row r="26" spans="4:21" ht="13.5" x14ac:dyDescent="0.35">
      <c r="E26" t="s">
        <v>73</v>
      </c>
      <c r="F26" s="30" t="s">
        <v>66</v>
      </c>
      <c r="G26" s="100">
        <f>'MP Calculations'!U30</f>
        <v>21028098.481242429</v>
      </c>
      <c r="H26" s="30" t="s">
        <v>66</v>
      </c>
      <c r="I26" s="1" t="s">
        <v>175</v>
      </c>
      <c r="J26" s="1"/>
      <c r="K26" s="1"/>
      <c r="L26" s="1"/>
      <c r="M26" s="1"/>
      <c r="N26" s="1"/>
      <c r="O26" s="1"/>
      <c r="P26" s="1"/>
      <c r="Q26" s="1"/>
      <c r="R26" s="1"/>
      <c r="S26" s="1"/>
      <c r="T26" s="1"/>
      <c r="U26" s="1"/>
    </row>
    <row r="27" spans="4:21" x14ac:dyDescent="0.25">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C25" sqref="C25"/>
    </sheetView>
  </sheetViews>
  <sheetFormatPr defaultRowHeight="11.5" x14ac:dyDescent="0.25"/>
  <cols>
    <col min="1" max="1" width="2.69921875" customWidth="1"/>
    <col min="2" max="2" width="5.0976562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61</v>
      </c>
    </row>
    <row r="3" spans="1:11" ht="20" x14ac:dyDescent="0.4">
      <c r="C3" s="50" t="s">
        <v>199</v>
      </c>
    </row>
    <row r="6" spans="1:11" ht="15.5" x14ac:dyDescent="0.35">
      <c r="C6" s="2" t="s">
        <v>34</v>
      </c>
      <c r="E6" s="35"/>
    </row>
    <row r="7" spans="1:11" x14ac:dyDescent="0.25">
      <c r="B7" s="44"/>
      <c r="C7" s="34"/>
      <c r="D7" s="34"/>
      <c r="E7" s="34"/>
      <c r="F7" s="34"/>
      <c r="G7" s="34"/>
      <c r="H7" s="34"/>
      <c r="I7" s="34"/>
      <c r="J7" s="34"/>
      <c r="K7" s="45"/>
    </row>
    <row r="8" spans="1:11" x14ac:dyDescent="0.25">
      <c r="B8" s="46"/>
      <c r="J8" s="26" t="s">
        <v>35</v>
      </c>
      <c r="K8" s="47"/>
    </row>
    <row r="9" spans="1:11" x14ac:dyDescent="0.25">
      <c r="A9" s="52">
        <v>1</v>
      </c>
      <c r="B9" s="46"/>
      <c r="C9" t="str">
        <f>"Table "&amp;A9&amp;":  Calculation of maximum price ("&amp;'General inputs'!H42&amp;", $"&amp;'General inputs'!I40&amp;")"</f>
        <v>Table 1:  Calculation of maximum price ($, $2020-21)</v>
      </c>
      <c r="J9">
        <f>ROW(C17)</f>
        <v>17</v>
      </c>
      <c r="K9" s="47"/>
    </row>
    <row r="10" spans="1:11" x14ac:dyDescent="0.25">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5">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5">
      <c r="B12" s="48"/>
      <c r="C12" s="35"/>
      <c r="D12" s="35"/>
      <c r="E12" s="35"/>
      <c r="F12" s="35"/>
      <c r="G12" s="35"/>
      <c r="H12" s="35"/>
      <c r="I12" s="35"/>
      <c r="J12" s="35"/>
      <c r="K12" s="49"/>
    </row>
    <row r="13" spans="1:11" x14ac:dyDescent="0.25">
      <c r="E13" s="34"/>
    </row>
    <row r="14" spans="1:11" x14ac:dyDescent="0.25">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69" t="str">
        <f>C9</f>
        <v>Table 1:  Calculation of maximum price ($, $2020-21)</v>
      </c>
      <c r="E17" s="35"/>
    </row>
    <row r="18" spans="2:22" x14ac:dyDescent="0.25">
      <c r="B18" s="44"/>
      <c r="C18" s="113"/>
      <c r="D18" s="102"/>
      <c r="E18" s="102"/>
      <c r="F18" s="113"/>
      <c r="G18" s="113"/>
      <c r="H18" s="113"/>
      <c r="I18" s="102"/>
      <c r="J18" s="113"/>
      <c r="K18" s="113"/>
      <c r="L18" s="34"/>
      <c r="M18" s="45"/>
    </row>
    <row r="19" spans="2:22" ht="46" x14ac:dyDescent="0.25">
      <c r="B19" s="46"/>
      <c r="C19" s="40" t="s">
        <v>200</v>
      </c>
      <c r="F19" s="120" t="s">
        <v>148</v>
      </c>
      <c r="G19" s="120" t="s">
        <v>218</v>
      </c>
      <c r="H19" s="119" t="s">
        <v>132</v>
      </c>
      <c r="I19" s="121"/>
      <c r="J19" s="119" t="s">
        <v>133</v>
      </c>
      <c r="K19" s="119" t="s">
        <v>134</v>
      </c>
      <c r="L19" s="119" t="s">
        <v>150</v>
      </c>
      <c r="M19" s="47"/>
    </row>
    <row r="20" spans="2:22" x14ac:dyDescent="0.25">
      <c r="B20" s="46"/>
      <c r="E20" s="6" t="s">
        <v>147</v>
      </c>
      <c r="H20" s="122">
        <f>K30</f>
        <v>54417988.961603865</v>
      </c>
      <c r="I20" s="124"/>
      <c r="J20" s="125">
        <f>M30</f>
        <v>49840545.578882545</v>
      </c>
      <c r="K20" s="125">
        <f>O30</f>
        <v>10270853.589354636</v>
      </c>
      <c r="L20" s="122">
        <f>R30-U30</f>
        <v>57393812.525210172</v>
      </c>
      <c r="M20" s="47"/>
    </row>
    <row r="21" spans="2:22" x14ac:dyDescent="0.25">
      <c r="B21" s="46"/>
      <c r="E21" s="6" t="s">
        <v>21</v>
      </c>
      <c r="F21" s="35"/>
      <c r="H21" s="122">
        <f>F30</f>
        <v>28506.377818075689</v>
      </c>
      <c r="I21" s="124"/>
      <c r="J21" s="125">
        <f>G30</f>
        <v>30574.691991735326</v>
      </c>
      <c r="K21" s="125">
        <f>G30</f>
        <v>30574.691991735326</v>
      </c>
      <c r="L21" s="122">
        <f>H30</f>
        <v>9225.8204763618942</v>
      </c>
      <c r="M21" s="47"/>
    </row>
    <row r="22" spans="2:22" ht="12" customHeight="1" x14ac:dyDescent="0.25">
      <c r="B22" s="46"/>
      <c r="C22" s="71">
        <f>IF(SUM(F22:K22,-L22)&lt;0,0,SUM(F22:K22,-L22))</f>
        <v>0</v>
      </c>
      <c r="E22" s="6" t="s">
        <v>149</v>
      </c>
      <c r="F22" s="123"/>
      <c r="G22" s="123"/>
      <c r="H22" s="75">
        <f>H20/H21</f>
        <v>1908.9759249278527</v>
      </c>
      <c r="I22" s="127"/>
      <c r="J22" s="126">
        <f>J20/J21</f>
        <v>1630.1242083601362</v>
      </c>
      <c r="K22" s="126">
        <f>K20/K21</f>
        <v>335.92664129309821</v>
      </c>
      <c r="L22" s="75">
        <f>L20/L21</f>
        <v>6220.9981943896246</v>
      </c>
      <c r="M22" s="47"/>
    </row>
    <row r="23" spans="2:22" x14ac:dyDescent="0.25">
      <c r="B23" s="48"/>
      <c r="C23" s="51"/>
      <c r="D23" s="35"/>
      <c r="E23" s="35"/>
      <c r="F23" s="35"/>
      <c r="G23" s="35"/>
      <c r="H23" s="35"/>
      <c r="I23" s="35"/>
      <c r="J23" s="35"/>
      <c r="K23" s="35"/>
      <c r="L23" s="35"/>
      <c r="M23" s="49"/>
    </row>
    <row r="24" spans="2:22" x14ac:dyDescent="0.25">
      <c r="C24" s="188"/>
      <c r="D24" s="188"/>
      <c r="E24" s="188"/>
      <c r="H24" s="63"/>
    </row>
    <row r="25" spans="2:22" x14ac:dyDescent="0.25">
      <c r="D25" s="188"/>
      <c r="E25" s="188"/>
      <c r="K25" s="63"/>
    </row>
    <row r="27" spans="2:22" ht="18" x14ac:dyDescent="0.4">
      <c r="C27" s="69" t="str">
        <f>C10</f>
        <v>Table 2:  Key variables used in maximum price calculation ($, $2020-21)</v>
      </c>
      <c r="D27" s="72"/>
      <c r="H27" s="63"/>
      <c r="I27" s="63"/>
      <c r="J27" s="63"/>
    </row>
    <row r="28" spans="2:22" ht="18" x14ac:dyDescent="0.4">
      <c r="B28" s="44"/>
      <c r="C28" s="73"/>
      <c r="D28" s="74"/>
      <c r="E28" s="34"/>
      <c r="F28" s="34"/>
      <c r="G28" s="34"/>
      <c r="H28" s="197"/>
      <c r="I28" s="197"/>
      <c r="J28" s="197"/>
      <c r="K28" s="34"/>
      <c r="L28" s="34"/>
      <c r="M28" s="34"/>
      <c r="N28" s="34"/>
      <c r="O28" s="34"/>
      <c r="P28" s="34"/>
      <c r="Q28" s="34"/>
      <c r="R28" s="34"/>
      <c r="S28" s="34"/>
      <c r="T28" s="34"/>
      <c r="U28" s="34"/>
      <c r="V28" s="45"/>
    </row>
    <row r="29" spans="2:22" ht="92" x14ac:dyDescent="0.25">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5">
      <c r="B30" s="46"/>
      <c r="E30" s="178">
        <f>SUM(E40:E130)</f>
        <v>27786.6182350786</v>
      </c>
      <c r="F30" s="75">
        <f t="shared" ref="F30:H30" si="0">SUM(F40:F130)</f>
        <v>28506.377818075689</v>
      </c>
      <c r="G30" s="75">
        <f t="shared" si="0"/>
        <v>30574.691991735326</v>
      </c>
      <c r="H30" s="71">
        <f t="shared" si="0"/>
        <v>9225.8204763618942</v>
      </c>
      <c r="K30" s="75">
        <f>K40</f>
        <v>54417988.961603865</v>
      </c>
      <c r="M30" s="75">
        <f>SUM(M40:M130)</f>
        <v>49840545.578882545</v>
      </c>
      <c r="O30" s="75">
        <f>SUM(O40:O130)</f>
        <v>10270853.589354636</v>
      </c>
      <c r="R30" s="75">
        <f>SUM(R40:R130)</f>
        <v>78421911.006452605</v>
      </c>
      <c r="U30" s="75">
        <f>SUM(U40:U130)</f>
        <v>21028098.481242429</v>
      </c>
      <c r="V30" s="47"/>
    </row>
    <row r="31" spans="2:22" x14ac:dyDescent="0.25">
      <c r="B31" s="48"/>
      <c r="C31" s="35"/>
      <c r="D31" s="35"/>
      <c r="E31" s="35"/>
      <c r="F31" s="35"/>
      <c r="G31" s="35"/>
      <c r="H31" s="35"/>
      <c r="I31" s="35"/>
      <c r="J31" s="35" t="s">
        <v>975</v>
      </c>
      <c r="K31" s="242">
        <f>K30-'Pre-1996 assets'!$Q$3103</f>
        <v>0</v>
      </c>
      <c r="L31" s="35"/>
      <c r="M31" s="243">
        <f>M30-'Post-1996 commissioned assets'!$Q$2530</f>
        <v>0</v>
      </c>
      <c r="N31" s="35"/>
      <c r="O31" s="243">
        <f>O30-'Uncommissioned assets'!$Q$29</f>
        <v>0</v>
      </c>
      <c r="P31" s="35"/>
      <c r="Q31" s="35"/>
      <c r="R31" s="35"/>
      <c r="S31" s="35"/>
      <c r="T31" s="35"/>
      <c r="U31" s="35"/>
      <c r="V31" s="49"/>
    </row>
    <row r="34" spans="2:27" x14ac:dyDescent="0.25">
      <c r="B34" s="104" t="str">
        <f>"Note:  inputs are required in "&amp;'Reduction amount'!D17&amp;" and "&amp;'Reduction amount'!D18&amp;" to calculate the 'Reduction amount'."</f>
        <v>Note:  inputs are required in $Q$67:$Q$96 and $T$67:$T$96 to calculate the 'Reduction amount'.</v>
      </c>
    </row>
    <row r="36" spans="2:27" ht="18" x14ac:dyDescent="0.4">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4">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4">
      <c r="B38" s="46"/>
      <c r="C38" s="69"/>
      <c r="D38" s="114"/>
      <c r="E38" s="117" t="s">
        <v>143</v>
      </c>
      <c r="F38" s="114"/>
      <c r="G38" s="114"/>
      <c r="H38" s="114"/>
      <c r="I38" s="114"/>
      <c r="J38" s="117" t="s">
        <v>144</v>
      </c>
      <c r="N38" s="62" t="s">
        <v>277</v>
      </c>
      <c r="O38" s="62"/>
      <c r="Q38" s="117" t="s">
        <v>145</v>
      </c>
      <c r="R38" s="103"/>
      <c r="T38" s="117" t="s">
        <v>146</v>
      </c>
      <c r="V38" s="47"/>
    </row>
    <row r="39" spans="2:27" ht="82" x14ac:dyDescent="0.4">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x14ac:dyDescent="0.3">
      <c r="B40" s="46"/>
      <c r="C40" s="26">
        <f>IF(D40='General inputs'!$I$16,0,IF(D40&lt;'General inputs'!$I$16,C41-1,C39+1))</f>
        <v>-27</v>
      </c>
      <c r="D40" s="137" t="str">
        <f>RIGHT(YEAR('General inputs'!$H$24),4)&amp;"-"&amp;RIGHT(YEAR('General inputs'!H24),2)+1</f>
        <v>1995-96</v>
      </c>
      <c r="E40" s="77">
        <f>IF(LEFT(D40,4)*1&gt;LEFT('General inputs'!$I$16,4)+'General inputs'!$H$38-1,"",'ET inputs'!D12)</f>
        <v>202.165310527907</v>
      </c>
      <c r="F40" s="77">
        <f>IF(LEFT(D40,4)*1&gt;LEFT('General inputs'!$I$16,4)+'General inputs'!$H$38-1,"",E40/(1+'General inputs'!$H$30)^C40)</f>
        <v>449.06758158331621</v>
      </c>
      <c r="G40" s="77">
        <f>IF(LEFT(D40,4)*1&gt;LEFT('General inputs'!$I$16,4)+'General inputs'!$H$38-1,"",E40/(1+'General inputs'!$H$32)^C40)</f>
        <v>613.95289171447985</v>
      </c>
      <c r="H40" s="76" t="str">
        <f>IF(LEFT(D40,4)*1&lt;LEFT('General inputs'!$I$16,4)*1,"",IF(LEFT(D40,4)*1&gt;LEFT('General inputs'!$I$16,4)+'General inputs'!$H$38-1,"",E40/(1+'General inputs'!$H$34)^C40))</f>
        <v/>
      </c>
      <c r="J40" s="77">
        <f>'Pre-1996 assets'!P3103</f>
        <v>24498383.067283932</v>
      </c>
      <c r="K40" s="77">
        <f>J40/(1+'General inputs'!$H$30)^C40</f>
        <v>54417988.961603865</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x14ac:dyDescent="0.25">
      <c r="B41" s="46"/>
      <c r="C41" s="26">
        <f>IF(D41='General inputs'!$I$16,0,IF(D41&lt;'General inputs'!$I$16,C42-1,C40+1))</f>
        <v>-26</v>
      </c>
      <c r="D41" s="26" t="str">
        <f>LEFT(D40,4)+1&amp;"-"&amp;RIGHT(D40,2)+1</f>
        <v>1996-97</v>
      </c>
      <c r="E41" s="76">
        <f>IF(LEFT(D41,4)*1&gt;LEFT('General inputs'!$I$16,4)+'General inputs'!$H$38-1,"",'ET inputs'!D13)</f>
        <v>407.05702243357524</v>
      </c>
      <c r="F41" s="76">
        <f>IF(LEFT(D41,4)*1&gt;LEFT('General inputs'!$I$16,4)+'General inputs'!$H$38-1,"",E41/(1+'General inputs'!$H$30)^C41)</f>
        <v>877.85561997264551</v>
      </c>
      <c r="G41" s="76">
        <f>IF(LEFT(D41,4)*1&gt;LEFT('General inputs'!$I$16,4)+'General inputs'!$H$38-1,"",E41/(1+'General inputs'!$H$32)^C41)</f>
        <v>1186.3584953229999</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228237.34680320416</v>
      </c>
      <c r="M41" s="76">
        <f>IF(L41="","",L41/(1+'General inputs'!$H$32)^C41)</f>
        <v>665192.59073622362</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5">
      <c r="B42" s="46"/>
      <c r="C42" s="26">
        <f>IF(D42='General inputs'!$I$16,0,IF(D42&lt;'General inputs'!$I$16,C43-1,C41+1))</f>
        <v>-25</v>
      </c>
      <c r="D42" s="26" t="str">
        <f t="shared" ref="D42:D100" si="1">LEFT(D41,4)+1&amp;"-"&amp;RIGHT(D41,2)+1</f>
        <v>1997-98</v>
      </c>
      <c r="E42" s="76">
        <f>IF(LEFT(D42,4)*1&gt;LEFT('General inputs'!$I$16,4)+'General inputs'!$H$38-1,"",'ET inputs'!D14)</f>
        <v>409.80180793585896</v>
      </c>
      <c r="F42" s="76">
        <f>IF(LEFT(D42,4)*1&gt;LEFT('General inputs'!$I$16,4)+'General inputs'!$H$38-1,"",E42/(1+'General inputs'!$H$30)^C42)</f>
        <v>858.03398098849664</v>
      </c>
      <c r="G42" s="76">
        <f>IF(LEFT(D42,4)*1&gt;LEFT('General inputs'!$I$16,4)+'General inputs'!$H$38-1,"",E42/(1+'General inputs'!$H$32)^C42)</f>
        <v>1146.2169967917505</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3271.829175597737</v>
      </c>
      <c r="M42" s="76">
        <f>IF(L42="","",L42/(1+'General inputs'!$H$32)^C42)</f>
        <v>9151.316902575114</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x14ac:dyDescent="0.3">
      <c r="B43" s="46"/>
      <c r="C43" s="26">
        <f>IF(D43='General inputs'!$I$16,0,IF(D43&lt;'General inputs'!$I$16,C44-1,C42+1))</f>
        <v>-24</v>
      </c>
      <c r="D43" s="78" t="str">
        <f t="shared" si="1"/>
        <v>1998-99</v>
      </c>
      <c r="E43" s="76">
        <f>IF(LEFT(D43,4)*1&gt;LEFT('General inputs'!$I$16,4)+'General inputs'!$H$38-1,"",'ET inputs'!D15)</f>
        <v>412.56510152676492</v>
      </c>
      <c r="F43" s="76">
        <f>IF(LEFT(D43,4)*1&gt;LEFT('General inputs'!$I$16,4)+'General inputs'!$H$38-1,"",E43/(1+'General inputs'!$H$30)^C43)</f>
        <v>838.65990691484512</v>
      </c>
      <c r="G43" s="76">
        <f>IF(LEFT(D43,4)*1&gt;LEFT('General inputs'!$I$16,4)+'General inputs'!$H$38-1,"",E43/(1+'General inputs'!$H$32)^C43)</f>
        <v>1107.433721690117</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182130.24997049465</v>
      </c>
      <c r="M43" s="76">
        <f>IF(L43="","",L43/(1+'General inputs'!$H$32)^C43)</f>
        <v>488885.70509420853</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x14ac:dyDescent="0.3">
      <c r="B44" s="46"/>
      <c r="C44" s="26">
        <f>IF(D44='General inputs'!$I$16,0,IF(D44&lt;'General inputs'!$I$16,C45-1,C43+1))</f>
        <v>-23</v>
      </c>
      <c r="D44" s="79" t="str">
        <f>LEFT(D43,4)+1&amp;"-00"</f>
        <v>1999-00</v>
      </c>
      <c r="E44" s="76">
        <f>IF(LEFT(D44,4)*1&gt;LEFT('General inputs'!$I$16,4)+'General inputs'!$H$38-1,"",'ET inputs'!D16)</f>
        <v>415.34702800635574</v>
      </c>
      <c r="F44" s="76">
        <f>IF(LEFT(D44,4)*1&gt;LEFT('General inputs'!$I$16,4)+'General inputs'!$H$38-1,"",E44/(1+'General inputs'!$H$30)^C44)</f>
        <v>819.7232919098675</v>
      </c>
      <c r="G44" s="76">
        <f>IF(LEFT(D44,4)*1&gt;LEFT('General inputs'!$I$16,4)+'General inputs'!$H$38-1,"",E44/(1+'General inputs'!$H$32)^C44)</f>
        <v>1069.9627133161823</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588592.65020689298</v>
      </c>
      <c r="M44" s="76">
        <f>IF(L44="","",L44/(1+'General inputs'!$H$32)^C44)</f>
        <v>1516255.4360294903</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x14ac:dyDescent="0.25">
      <c r="B45" s="46"/>
      <c r="C45" s="26">
        <f>IF(D45='General inputs'!$I$16,0,IF(D45&lt;'General inputs'!$I$16,C46-1,C44+1))</f>
        <v>-22</v>
      </c>
      <c r="D45" s="80" t="str">
        <f>LEFT(D44,4)+1&amp;"-0"&amp;RIGHT(D44,2)+1</f>
        <v>2000-01</v>
      </c>
      <c r="E45" s="76">
        <f>IF(LEFT(D45,4)*1&gt;LEFT('General inputs'!$I$16,4)+'General inputs'!$H$38-1,"",'ET inputs'!D17)</f>
        <v>418.14771301620198</v>
      </c>
      <c r="F45" s="76">
        <f>IF(LEFT(D45,4)*1&gt;LEFT('General inputs'!$I$16,4)+'General inputs'!$H$38-1,"",E45/(1+'General inputs'!$H$30)^C45)</f>
        <v>801.21425831768397</v>
      </c>
      <c r="G45" s="76">
        <f>IF(LEFT(D45,4)*1&gt;LEFT('General inputs'!$I$16,4)+'General inputs'!$H$38-1,"",E45/(1+'General inputs'!$H$32)^C45)</f>
        <v>1033.7595699540038</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182822.77856095674</v>
      </c>
      <c r="M45" s="76">
        <f>IF(L45="","",L45/(1+'General inputs'!$H$32)^C45)</f>
        <v>451980.94132741966</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5">
      <c r="B46" s="46"/>
      <c r="C46" s="26">
        <f>IF(D46='General inputs'!$I$16,0,IF(D46&lt;'General inputs'!$I$16,C47-1,C45+1))</f>
        <v>-21</v>
      </c>
      <c r="D46" s="26" t="str">
        <f t="shared" ref="D46:D53" si="2">LEFT(D45,4)+1&amp;"-0"&amp;RIGHT(D45,2)+1</f>
        <v>2001-02</v>
      </c>
      <c r="E46" s="76">
        <f>IF(LEFT(D46,4)*1&gt;LEFT('General inputs'!$I$16,4)+'General inputs'!$H$38-1,"",'ET inputs'!D18)</f>
        <v>420.96728304508002</v>
      </c>
      <c r="F46" s="76">
        <f>IF(LEFT(D46,4)*1&gt;LEFT('General inputs'!$I$16,4)+'General inputs'!$H$38-1,"",E46/(1+'General inputs'!$H$30)^C46)</f>
        <v>783.12315151605719</v>
      </c>
      <c r="G46" s="76">
        <f>IF(LEFT(D46,4)*1&gt;LEFT('General inputs'!$I$16,4)+'General inputs'!$H$38-1,"",E46/(1+'General inputs'!$H$32)^C46)</f>
        <v>998.78139225933558</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111348.95146072353</v>
      </c>
      <c r="M46" s="76">
        <f>IF(L46="","",L46/(1+'General inputs'!$H$32)^C46)</f>
        <v>264185.04536051833</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5">
      <c r="B47" s="46"/>
      <c r="C47" s="26">
        <f>IF(D47='General inputs'!$I$16,0,IF(D47&lt;'General inputs'!$I$16,C48-1,C46+1))</f>
        <v>-20</v>
      </c>
      <c r="D47" s="26" t="str">
        <f t="shared" si="2"/>
        <v>2002-03</v>
      </c>
      <c r="E47" s="76">
        <f>IF(LEFT(D47,4)*1&gt;LEFT('General inputs'!$I$16,4)+'General inputs'!$H$38-1,"",'ET inputs'!D19)</f>
        <v>423.80586543464591</v>
      </c>
      <c r="F47" s="76">
        <f>IF(LEFT(D47,4)*1&gt;LEFT('General inputs'!$I$16,4)+'General inputs'!$H$38-1,"",E47/(1+'General inputs'!$H$30)^C47)</f>
        <v>765.4405348803075</v>
      </c>
      <c r="G47" s="76">
        <f>IF(LEFT(D47,4)*1&gt;LEFT('General inputs'!$I$16,4)+'General inputs'!$H$38-1,"",E47/(1+'General inputs'!$H$32)^C47)</f>
        <v>964.98673242545442</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209812.13058459022</v>
      </c>
      <c r="M47" s="76">
        <f>IF(L47="","",L47/(1+'General inputs'!$H$32)^C47)</f>
        <v>477732.7045919997</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5">
      <c r="B48" s="46"/>
      <c r="C48" s="26">
        <f>IF(D48='General inputs'!$I$16,0,IF(D48&lt;'General inputs'!$I$16,C49-1,C47+1))</f>
        <v>-19</v>
      </c>
      <c r="D48" s="26" t="str">
        <f t="shared" si="2"/>
        <v>2003-04</v>
      </c>
      <c r="E48" s="76">
        <f>IF(LEFT(D48,4)*1&gt;LEFT('General inputs'!$I$16,4)+'General inputs'!$H$38-1,"",'ET inputs'!D20)</f>
        <v>426.66358838526509</v>
      </c>
      <c r="F48" s="76">
        <f>IF(LEFT(D48,4)*1&gt;LEFT('General inputs'!$I$16,4)+'General inputs'!$H$38-1,"",E48/(1+'General inputs'!$H$30)^C48)</f>
        <v>748.15718486115873</v>
      </c>
      <c r="G48" s="76">
        <f>IF(LEFT(D48,4)*1&gt;LEFT('General inputs'!$I$16,4)+'General inputs'!$H$38-1,"",E48/(1+'General inputs'!$H$32)^C48)</f>
        <v>932.33554506927442</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199739.51059683744</v>
      </c>
      <c r="M48" s="76">
        <f>IF(L48="","",L48/(1+'General inputs'!$H$32)^C48)</f>
        <v>436466.22433601564</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5">
      <c r="B49" s="46"/>
      <c r="C49" s="26">
        <f>IF(D49='General inputs'!$I$16,0,IF(D49&lt;'General inputs'!$I$16,C50-1,C48+1))</f>
        <v>-18</v>
      </c>
      <c r="D49" s="26" t="str">
        <f t="shared" si="2"/>
        <v>2004-05</v>
      </c>
      <c r="E49" s="76">
        <f>IF(LEFT(D49,4)*1&gt;LEFT('General inputs'!$I$16,4)+'General inputs'!$H$38-1,"",'ET inputs'!D21)</f>
        <v>429.54058096175874</v>
      </c>
      <c r="F49" s="76">
        <f>IF(LEFT(D49,4)*1&gt;LEFT('General inputs'!$I$16,4)+'General inputs'!$H$38-1,"",E49/(1+'General inputs'!$H$30)^C49)</f>
        <v>731.26408617349341</v>
      </c>
      <c r="G49" s="76">
        <f>IF(LEFT(D49,4)*1&gt;LEFT('General inputs'!$I$16,4)+'General inputs'!$H$38-1,"",E49/(1+'General inputs'!$H$32)^C49)</f>
        <v>900.78913977898503</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57280.434215221285</v>
      </c>
      <c r="M49" s="76">
        <f>IF(L49="","",L49/(1+'General inputs'!$H$32)^C49)</f>
        <v>120122.74357725834</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5">
      <c r="B50" s="46"/>
      <c r="C50" s="26">
        <f>IF(D50='General inputs'!$I$16,0,IF(D50&lt;'General inputs'!$I$16,C51-1,C49+1))</f>
        <v>-17</v>
      </c>
      <c r="D50" s="26" t="str">
        <f t="shared" si="2"/>
        <v>2005-06</v>
      </c>
      <c r="E50" s="76">
        <f>IF(LEFT(D50,4)*1&gt;LEFT('General inputs'!$I$16,4)+'General inputs'!$H$38-1,"",'ET inputs'!D22)</f>
        <v>432.43697309918934</v>
      </c>
      <c r="F50" s="76">
        <f>IF(LEFT(D50,4)*1&gt;LEFT('General inputs'!$I$16,4)+'General inputs'!$H$38-1,"",E50/(1+'General inputs'!$H$30)^C50)</f>
        <v>714.75242709375789</v>
      </c>
      <c r="G50" s="76">
        <f>IF(LEFT(D50,4)*1&gt;LEFT('General inputs'!$I$16,4)+'General inputs'!$H$38-1,"",E50/(1+'General inputs'!$H$32)^C50)</f>
        <v>870.3101352672993</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238298.7140236058</v>
      </c>
      <c r="M50" s="76">
        <f>IF(L50="","",L50/(1+'General inputs'!$H$32)^C50)</f>
        <v>479593.09434056492</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5">
      <c r="B51" s="46"/>
      <c r="C51" s="26">
        <f>IF(D51='General inputs'!$I$16,0,IF(D51&lt;'General inputs'!$I$16,C52-1,C50+1))</f>
        <v>-16</v>
      </c>
      <c r="D51" s="26" t="str">
        <f t="shared" si="2"/>
        <v>2006-07</v>
      </c>
      <c r="E51" s="76">
        <f>IF(LEFT(D51,4)*1&gt;LEFT('General inputs'!$I$16,4)+'General inputs'!$H$38-1,"",'ET inputs'!D23)</f>
        <v>435.35289560876845</v>
      </c>
      <c r="F51" s="76">
        <f>IF(LEFT(D51,4)*1&gt;LEFT('General inputs'!$I$16,4)+'General inputs'!$H$38-1,"",E51/(1+'General inputs'!$H$30)^C51)</f>
        <v>698.61359486369281</v>
      </c>
      <c r="G51" s="76">
        <f>IF(LEFT(D51,4)*1&gt;LEFT('General inputs'!$I$16,4)+'General inputs'!$H$38-1,"",E51/(1+'General inputs'!$H$32)^C51)</f>
        <v>840.86241507615057</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1453433.0439160459</v>
      </c>
      <c r="M51" s="76">
        <f>IF(L51="","",L51/(1+'General inputs'!$H$32)^C51)</f>
        <v>2807233.4691831372</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5">
      <c r="B52" s="46"/>
      <c r="C52" s="26">
        <f>IF(D52='General inputs'!$I$16,0,IF(D52&lt;'General inputs'!$I$16,C53-1,C51+1))</f>
        <v>-15</v>
      </c>
      <c r="D52" s="26" t="str">
        <f t="shared" si="2"/>
        <v>2007-08</v>
      </c>
      <c r="E52" s="76">
        <f>IF(LEFT(D52,4)*1&gt;LEFT('General inputs'!$I$16,4)+'General inputs'!$H$38-1,"",'ET inputs'!D24)</f>
        <v>438.28848018388089</v>
      </c>
      <c r="F52" s="76">
        <f>IF(LEFT(D52,4)*1&gt;LEFT('General inputs'!$I$16,4)+'General inputs'!$H$38-1,"",E52/(1+'General inputs'!$H$30)^C52)</f>
        <v>682.83917119795626</v>
      </c>
      <c r="G52" s="76">
        <f>IF(LEFT(D52,4)*1&gt;LEFT('General inputs'!$I$16,4)+'General inputs'!$H$38-1,"",E52/(1+'General inputs'!$H$32)^C52)</f>
        <v>812.4110847802807</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136465.00466650398</v>
      </c>
      <c r="M52" s="76">
        <f>IF(L52="","",L52/(1+'General inputs'!$H$32)^C52)</f>
        <v>252951.3950016383</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x14ac:dyDescent="0.3">
      <c r="B53" s="46"/>
      <c r="C53" s="26">
        <f>IF(D53='General inputs'!$I$16,0,IF(D53&lt;'General inputs'!$I$16,C54-1,C52+1))</f>
        <v>-14</v>
      </c>
      <c r="D53" s="78" t="str">
        <f t="shared" si="2"/>
        <v>2008-09</v>
      </c>
      <c r="E53" s="76">
        <f>IF(LEFT(D53,4)*1&gt;LEFT('General inputs'!$I$16,4)+'General inputs'!$H$38-1,"",'ET inputs'!D25)</f>
        <v>441.2438594057603</v>
      </c>
      <c r="F53" s="76">
        <f>IF(LEFT(D53,4)*1&gt;LEFT('General inputs'!$I$16,4)+'General inputs'!$H$38-1,"",E53/(1+'General inputs'!$H$30)^C53)</f>
        <v>667.42092789256628</v>
      </c>
      <c r="G53" s="76">
        <f>IF(LEFT(D53,4)*1&gt;LEFT('General inputs'!$I$16,4)+'General inputs'!$H$38-1,"",E53/(1+'General inputs'!$H$32)^C53)</f>
        <v>784.92243063815079</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780035.65069763176</v>
      </c>
      <c r="M53" s="76">
        <f>IF(L53="","",L53/(1+'General inputs'!$H$32)^C53)</f>
        <v>1387594.333334316</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x14ac:dyDescent="0.25">
      <c r="B54" s="46"/>
      <c r="C54" s="26">
        <f>IF(D54='General inputs'!$I$16,0,IF(D54&lt;'General inputs'!$I$16,C55-1,C53+1))</f>
        <v>-13</v>
      </c>
      <c r="D54" s="80" t="str">
        <f t="shared" si="1"/>
        <v>2009-10</v>
      </c>
      <c r="E54" s="76">
        <f>IF(LEFT(D54,4)*1&gt;LEFT('General inputs'!$I$16,4)+'General inputs'!$H$38-1,"",'ET inputs'!D26)</f>
        <v>444.21916674973909</v>
      </c>
      <c r="F54" s="76">
        <f>IF(LEFT(D54,4)*1&gt;LEFT('General inputs'!$I$16,4)+'General inputs'!$H$38-1,"",E54/(1+'General inputs'!$H$30)^C54)</f>
        <v>652.35082253335383</v>
      </c>
      <c r="G54" s="76">
        <f>IF(LEFT(D54,4)*1&gt;LEFT('General inputs'!$I$16,4)+'General inputs'!$H$38-1,"",E54/(1+'General inputs'!$H$32)^C54)</f>
        <v>758.36387964295011</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2346464.3361626146</v>
      </c>
      <c r="M54" s="76">
        <f>IF(L54="","",L54/(1+'General inputs'!$H$32)^C54)</f>
        <v>4005846.506885658</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5">
      <c r="B55" s="46"/>
      <c r="C55" s="26">
        <f>IF(D55='General inputs'!$I$16,0,IF(D55&lt;'General inputs'!$I$16,C56-1,C54+1))</f>
        <v>-12</v>
      </c>
      <c r="D55" s="26" t="str">
        <f t="shared" si="1"/>
        <v>2010-11</v>
      </c>
      <c r="E55" s="76">
        <f>IF(LEFT(D55,4)*1&gt;LEFT('General inputs'!$I$16,4)+'General inputs'!$H$38-1,"",'ET inputs'!D27)</f>
        <v>447.21453659111285</v>
      </c>
      <c r="F55" s="76">
        <f>IF(LEFT(D55,4)*1&gt;LEFT('General inputs'!$I$16,4)+'General inputs'!$H$38-1,"",E55/(1+'General inputs'!$H$30)^C55)</f>
        <v>637.62099430064779</v>
      </c>
      <c r="G55" s="76">
        <f>IF(LEFT(D55,4)*1&gt;LEFT('General inputs'!$I$16,4)+'General inputs'!$H$38-1,"",E55/(1+'General inputs'!$H$32)^C55)</f>
        <v>732.70396092451892</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8643696.9032445326</v>
      </c>
      <c r="M55" s="76">
        <f>IF(L55="","",L55/(1+'General inputs'!$H$32)^C55)</f>
        <v>14161594.581235094</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5">
      <c r="B56" s="46"/>
      <c r="C56" s="26">
        <f>IF(D56='General inputs'!$I$16,0,IF(D56&lt;'General inputs'!$I$16,C57-1,C55+1))</f>
        <v>-11</v>
      </c>
      <c r="D56" s="26" t="str">
        <f t="shared" si="1"/>
        <v>2011-12</v>
      </c>
      <c r="E56" s="76">
        <f>IF(LEFT(D56,4)*1&gt;LEFT('General inputs'!$I$16,4)+'General inputs'!$H$38-1,"",'ET inputs'!D28)</f>
        <v>450.23010421135405</v>
      </c>
      <c r="F56" s="76">
        <f>IF(LEFT(D56,4)*1&gt;LEFT('General inputs'!$I$16,4)+'General inputs'!$H$38-1,"",E56/(1+'General inputs'!$H$30)^C56)</f>
        <v>623.22375986915301</v>
      </c>
      <c r="G56" s="76">
        <f>IF(LEFT(D56,4)*1&gt;LEFT('General inputs'!$I$16,4)+'General inputs'!$H$38-1,"",E56/(1+'General inputs'!$H$32)^C56)</f>
        <v>707.91226845781659</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9997.218775508667</v>
      </c>
      <c r="M56" s="76">
        <f>IF(L56="","",L56/(1+'General inputs'!$H$32)^C56)</f>
        <v>15718.970711734435</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5">
      <c r="B57" s="46"/>
      <c r="C57" s="26">
        <f>IF(D57='General inputs'!$I$16,0,IF(D57&lt;'General inputs'!$I$16,C58-1,C56+1))</f>
        <v>-10</v>
      </c>
      <c r="D57" s="26" t="str">
        <f t="shared" si="1"/>
        <v>2012-13</v>
      </c>
      <c r="E57" s="76">
        <f>IF(LEFT(D57,4)*1&gt;LEFT('General inputs'!$I$16,4)+'General inputs'!$H$38-1,"",'ET inputs'!D29)</f>
        <v>453.2660058040492</v>
      </c>
      <c r="F57" s="76">
        <f>IF(LEFT(D57,4)*1&gt;LEFT('General inputs'!$I$16,4)+'General inputs'!$H$38-1,"",E57/(1+'General inputs'!$H$30)^C57)</f>
        <v>609.15160939994951</v>
      </c>
      <c r="G57" s="76">
        <f>IF(LEFT(D57,4)*1&gt;LEFT('General inputs'!$I$16,4)+'General inputs'!$H$38-1,"",E57/(1+'General inputs'!$H$32)^C57)</f>
        <v>683.95942503265303</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6403601.0494116209</v>
      </c>
      <c r="M57" s="76">
        <f>IF(L57="","",L57/(1+'General inputs'!$H$32)^C57)</f>
        <v>9662765.8721609339</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5">
      <c r="B58" s="46"/>
      <c r="C58" s="26">
        <f>IF(D58='General inputs'!$I$16,0,IF(D58&lt;'General inputs'!$I$16,C59-1,C57+1))</f>
        <v>-9</v>
      </c>
      <c r="D58" s="26" t="str">
        <f t="shared" si="1"/>
        <v>2013-14</v>
      </c>
      <c r="E58" s="76">
        <f>IF(LEFT(D58,4)*1&gt;LEFT('General inputs'!$I$16,4)+'General inputs'!$H$38-1,"",'ET inputs'!D30)</f>
        <v>456.32237848119985</v>
      </c>
      <c r="F58" s="76">
        <f>IF(LEFT(D58,4)*1&gt;LEFT('General inputs'!$I$16,4)+'General inputs'!$H$38-1,"",E58/(1+'General inputs'!$H$30)^C58)</f>
        <v>595.39720262344861</v>
      </c>
      <c r="G58" s="76">
        <f>IF(LEFT(D58,4)*1&gt;LEFT('General inputs'!$I$16,4)+'General inputs'!$H$38-1,"",E58/(1+'General inputs'!$H$32)^C58)</f>
        <v>660.81704744306069</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436138.42994720134</v>
      </c>
      <c r="M58" s="76">
        <f>IF(L58="","",L58/(1+'General inputs'!$H$32)^C58)</f>
        <v>631587.93682969827</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5">
      <c r="B59" s="46"/>
      <c r="C59" s="26">
        <f>IF(D59='General inputs'!$I$16,0,IF(D59&lt;'General inputs'!$I$16,C60-1,C58+1))</f>
        <v>-8</v>
      </c>
      <c r="D59" s="26" t="str">
        <f t="shared" si="1"/>
        <v>2014-15</v>
      </c>
      <c r="E59" s="76">
        <f>IF(LEFT(D59,4)*1&gt;LEFT('General inputs'!$I$16,4)+'General inputs'!$H$38-1,"",'ET inputs'!D31)</f>
        <v>459.3993602792907</v>
      </c>
      <c r="F59" s="76">
        <f>IF(LEFT(D59,4)*1&gt;LEFT('General inputs'!$I$16,4)+'General inputs'!$H$38-1,"",E59/(1+'General inputs'!$H$30)^C59)</f>
        <v>581.95336501041584</v>
      </c>
      <c r="G59" s="76">
        <f>IF(LEFT(D59,4)*1&gt;LEFT('General inputs'!$I$16,4)+'General inputs'!$H$38-1,"",E59/(1+'General inputs'!$H$32)^C59)</f>
        <v>638.45771285408614</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2298310.7140936046</v>
      </c>
      <c r="M59" s="76">
        <f>IF(L59="","",L59/(1+'General inputs'!$H$32)^C59)</f>
        <v>3194114.5957542425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5">
      <c r="B60" s="46"/>
      <c r="C60" s="26">
        <f>IF(D60='General inputs'!$I$16,0,IF(D60&lt;'General inputs'!$I$16,C61-1,C59+1))</f>
        <v>-7</v>
      </c>
      <c r="D60" s="26" t="str">
        <f t="shared" si="1"/>
        <v>2015-16</v>
      </c>
      <c r="E60" s="76">
        <f>IF(LEFT(D60,4)*1&gt;LEFT('General inputs'!$I$16,4)+'General inputs'!$H$38-1,"",'ET inputs'!D32)</f>
        <v>462.49709016564884</v>
      </c>
      <c r="F60" s="76">
        <f>IF(LEFT(D60,4)*1&gt;LEFT('General inputs'!$I$16,4)+'General inputs'!$H$38-1,"",E60/(1+'General inputs'!$H$30)^C60)</f>
        <v>568.81308402978118</v>
      </c>
      <c r="G60" s="76">
        <f>IF(LEFT(D60,4)*1&gt;LEFT('General inputs'!$I$16,4)+'General inputs'!$H$38-1,"",E60/(1+'General inputs'!$H$32)^C60)</f>
        <v>616.85492630696172</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101161.75645941051</v>
      </c>
      <c r="M60" s="76">
        <f>IF(L60="","",L60/(1+'General inputs'!$H$32)^C60)</f>
        <v>134924.36850468058</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5">
      <c r="B61" s="46"/>
      <c r="C61" s="26">
        <f>IF(D61='General inputs'!$I$16,0,IF(D61&lt;'General inputs'!$I$16,C62-1,C60+1))</f>
        <v>-6</v>
      </c>
      <c r="D61" s="26" t="str">
        <f t="shared" si="1"/>
        <v>2016-17</v>
      </c>
      <c r="E61" s="76">
        <f>IF(LEFT(D61,4)*1&gt;LEFT('General inputs'!$I$16,4)+'General inputs'!$H$38-1,"",'ET inputs'!D33)</f>
        <v>465.61570804464282</v>
      </c>
      <c r="F61" s="76">
        <f>IF(LEFT(D61,4)*1&gt;LEFT('General inputs'!$I$16,4)+'General inputs'!$H$38-1,"",E61/(1+'General inputs'!$H$30)^C61)</f>
        <v>555.96950549068208</v>
      </c>
      <c r="G61" s="76">
        <f>IF(LEFT(D61,4)*1&gt;LEFT('General inputs'!$I$16,4)+'General inputs'!$H$38-1,"",E61/(1+'General inputs'!$H$32)^C61)</f>
        <v>595.98308932347311</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5279404.8427003864</v>
      </c>
      <c r="M61" s="76">
        <f>IF(L61="","",L61/(1+'General inputs'!$H$32)^C61)</f>
        <v>6757581.3134727906</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5">
      <c r="B62" s="46"/>
      <c r="C62" s="26">
        <f>IF(D62='General inputs'!$I$16,0,IF(D62&lt;'General inputs'!$I$16,C63-1,C61+1))</f>
        <v>-5</v>
      </c>
      <c r="D62" s="26" t="str">
        <f t="shared" si="1"/>
        <v>2017-18</v>
      </c>
      <c r="E62" s="76">
        <f>IF(LEFT(D62,4)*1&gt;LEFT('General inputs'!$I$16,4)+'General inputs'!$H$38-1,"",'ET inputs'!D34)</f>
        <v>468.75535476398363</v>
      </c>
      <c r="F62" s="76">
        <f>IF(LEFT(D62,4)*1&gt;LEFT('General inputs'!$I$16,4)+'General inputs'!$H$38-1,"",E62/(1+'General inputs'!$H$30)^C62)</f>
        <v>543.41592996718509</v>
      </c>
      <c r="G62" s="76">
        <f>IF(LEFT(D62,4)*1&gt;LEFT('General inputs'!$I$16,4)+'General inputs'!$H$38-1,"",E62/(1+'General inputs'!$H$32)^C62)</f>
        <v>575.81746957272139</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207432.80985124034</v>
      </c>
      <c r="M62" s="76">
        <f>IF(L62="","",L62/(1+'General inputs'!$H$32)^C62)</f>
        <v>254809.75195481227</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5">
      <c r="B63" s="46"/>
      <c r="C63" s="26">
        <f>IF(D63='General inputs'!$I$16,0,IF(D63&lt;'General inputs'!$I$16,C64-1,C62+1))</f>
        <v>-4</v>
      </c>
      <c r="D63" s="26" t="str">
        <f t="shared" si="1"/>
        <v>2018-19</v>
      </c>
      <c r="E63" s="76">
        <f>IF(LEFT(D63,4)*1&gt;LEFT('General inputs'!$I$16,4)+'General inputs'!$H$38-1,"",'ET inputs'!D35)</f>
        <v>471.91617212115671</v>
      </c>
      <c r="F63" s="76">
        <f>IF(LEFT(D63,4)*1&gt;LEFT('General inputs'!$I$16,4)+'General inputs'!$H$38-1,"",E63/(1+'General inputs'!$H$30)^C63)</f>
        <v>531.14580930383818</v>
      </c>
      <c r="G63" s="76">
        <f>IF(LEFT(D63,4)*1&gt;LEFT('General inputs'!$I$16,4)+'General inputs'!$H$38-1,"",E63/(1+'General inputs'!$H$32)^C63)</f>
        <v>556.33417156434712</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696389.86549573811</v>
      </c>
      <c r="M63" s="76">
        <f>IF(L63="","",L63/(1+'General inputs'!$H$32)^C63)</f>
        <v>820962.49671840761</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5">
      <c r="B64" s="46"/>
      <c r="C64" s="26">
        <f>IF(D64='General inputs'!$I$16,0,IF(D64&lt;'General inputs'!$I$16,C65-1,C63+1))</f>
        <v>-3</v>
      </c>
      <c r="D64" s="26" t="str">
        <f t="shared" si="1"/>
        <v>2019-20</v>
      </c>
      <c r="E64" s="76">
        <f>IF(LEFT(D64,4)*1&gt;LEFT('General inputs'!$I$16,4)+'General inputs'!$H$38-1,"",'ET inputs'!D36)</f>
        <v>475.09830286978104</v>
      </c>
      <c r="F64" s="76">
        <f>IF(LEFT(D64,4)*1&gt;LEFT('General inputs'!$I$16,4)+'General inputs'!$H$38-1,"",E64/(1+'General inputs'!$H$30)^C64)</f>
        <v>519.15274319998719</v>
      </c>
      <c r="G64" s="76">
        <f>IF(LEFT(D64,4)*1&gt;LEFT('General inputs'!$I$16,4)+'General inputs'!$H$38-1,"",E64/(1+'General inputs'!$H$32)^C64)</f>
        <v>537.51010833322346</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481201.4898240153</v>
      </c>
      <c r="M64" s="76">
        <f>IF(L64="","",L64/(1+'General inputs'!$H$32)^C64)</f>
        <v>544415.04708196817</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5">
      <c r="B65" s="46"/>
      <c r="C65" s="26">
        <f>IF(D65='General inputs'!$I$16,0,IF(D65&lt;'General inputs'!$I$16,C66-1,C64+1))</f>
        <v>-2</v>
      </c>
      <c r="D65" s="26" t="str">
        <f t="shared" si="1"/>
        <v>2020-21</v>
      </c>
      <c r="E65" s="76">
        <f>IF(LEFT(D65,4)*1&gt;LEFT('General inputs'!$I$16,4)+'General inputs'!$H$38-1,"",'ET inputs'!D37)</f>
        <v>478.30189072601206</v>
      </c>
      <c r="F65" s="76">
        <f>IF(LEFT(D65,4)*1&gt;LEFT('General inputs'!$I$16,4)+'General inputs'!$H$38-1,"",E65/(1+'General inputs'!$H$30)^C65)</f>
        <v>507.43047587122618</v>
      </c>
      <c r="G65" s="76">
        <f>IF(LEFT(D65,4)*1&gt;LEFT('General inputs'!$I$16,4)+'General inputs'!$H$38-1,"",E65/(1+'General inputs'!$H$32)^C65)</f>
        <v>519.32297408223781</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275270.81184968655</v>
      </c>
      <c r="M65" s="76">
        <f>IF(L65="","",L65/(1+'General inputs'!$H$32)^C65)</f>
        <v>298879.13775716315</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5">
      <c r="B66" s="46"/>
      <c r="C66" s="26">
        <f>IF(D66='General inputs'!$I$16,0,IF(D66&lt;'General inputs'!$I$16,C67-1,C65+1))</f>
        <v>-1</v>
      </c>
      <c r="D66" s="26" t="str">
        <f t="shared" si="1"/>
        <v>2021-22</v>
      </c>
      <c r="E66" s="76">
        <f>IF(LEFT(D66,4)*1&gt;LEFT('General inputs'!$I$16,4)+'General inputs'!$H$38-1,"",'ET inputs'!D38)</f>
        <v>481.52708037517732</v>
      </c>
      <c r="F66" s="76">
        <f>IF(LEFT(D66,4)*1&gt;LEFT('General inputs'!$I$16,4)+'General inputs'!$H$38-1,"",E66/(1+'General inputs'!$H$30)^C66)</f>
        <v>495.97289278643262</v>
      </c>
      <c r="G66" s="76">
        <f>IF(LEFT(D66,4)*1&gt;LEFT('General inputs'!$I$16,4)+'General inputs'!$H$38-1,"",E66/(1+'General inputs'!$H$32)^C66)</f>
        <v>501.75121775093476</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5">
      <c r="B67" s="46"/>
      <c r="C67" s="26">
        <f>IF(D67='General inputs'!$I$16,0,IF(D67&lt;'General inputs'!$I$16,C68-1,C66+1))</f>
        <v>0</v>
      </c>
      <c r="D67" s="26" t="str">
        <f t="shared" si="1"/>
        <v>2022-23</v>
      </c>
      <c r="E67" s="76">
        <f>IF(LEFT(D67,4)*1&gt;LEFT('General inputs'!$I$16,4)+'General inputs'!$H$38-1,"",'ET inputs'!D39)</f>
        <v>484.77401747816475</v>
      </c>
      <c r="F67" s="76">
        <f>IF(LEFT(D67,4)*1&gt;LEFT('General inputs'!$I$16,4)+'General inputs'!$H$38-1,"",E67/(1+'General inputs'!$H$30)^C67)</f>
        <v>484.77401747816475</v>
      </c>
      <c r="G67" s="76">
        <f>IF(LEFT(D67,4)*1&gt;LEFT('General inputs'!$I$16,4)+'General inputs'!$H$38-1,"",E67/(1+'General inputs'!$H$32)^C67)</f>
        <v>484.77401747816475</v>
      </c>
      <c r="H67" s="76">
        <f>IF(LEFT(D67,4)*1&lt;LEFT('General inputs'!$I$16,4)*1,"",IF(LEFT(D67,4)*1&gt;LEFT('General inputs'!$I$16,4)+'General inputs'!$H$38-1,"",E67/(1+'General inputs'!$H$34)^C67))</f>
        <v>484.77401747816475</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430021.98</v>
      </c>
      <c r="O67" s="177">
        <f>IF(N67="","",N67/(1+'General inputs'!$H$32)^C67)</f>
        <v>430021.98</v>
      </c>
      <c r="Q67" s="81">
        <f>'Reduction amount'!E40*SUM($E$67:E67)</f>
        <v>336641.62095736194</v>
      </c>
      <c r="R67" s="76">
        <f>IF(OR(LEFT(D67,4)*1&lt;LEFT('General inputs'!$I$16,4)*1,LEFT(D67,4)*1&gt;LEFT('General inputs'!$I$16,4)+'General inputs'!$H$38-1),"",Q67/(1+'General inputs'!$H$34)^C67)</f>
        <v>336641.62095736194</v>
      </c>
      <c r="T67" s="81">
        <f>('Reduction amount'!J40)*SUM($E$67:E67)</f>
        <v>97730.441923598017</v>
      </c>
      <c r="U67" s="76">
        <f>IF(OR(LEFT(D67,4)*1&lt;LEFT('General inputs'!$I$16,4)*1,LEFT(D67,4)*1&gt;LEFT('General inputs'!$I$16,4)+'General inputs'!$H$38-1),"",T67/(1+'General inputs'!$H$34)^C67)</f>
        <v>97730.441923598017</v>
      </c>
      <c r="V67" s="47"/>
      <c r="W67" s="31"/>
      <c r="X67" s="31"/>
    </row>
    <row r="68" spans="2:24" x14ac:dyDescent="0.25">
      <c r="B68" s="46"/>
      <c r="C68" s="26">
        <f>IF(D68='General inputs'!$I$16,0,IF(D68&lt;'General inputs'!$I$16,C69-1,C67+1))</f>
        <v>1</v>
      </c>
      <c r="D68" s="26" t="str">
        <f t="shared" si="1"/>
        <v>2023-24</v>
      </c>
      <c r="E68" s="76">
        <f>IF(LEFT(D68,4)*1&gt;LEFT('General inputs'!$I$16,4)+'General inputs'!$H$38-1,"",'ET inputs'!D40)</f>
        <v>488.04284867801471</v>
      </c>
      <c r="F68" s="76">
        <f>IF(LEFT(D68,4)*1&gt;LEFT('General inputs'!$I$16,4)+'General inputs'!$H$38-1,"",E68/(1+'General inputs'!$H$30)^C68)</f>
        <v>473.828008425257</v>
      </c>
      <c r="G68" s="76">
        <f>IF(LEFT(D68,4)*1&gt;LEFT('General inputs'!$I$16,4)+'General inputs'!$H$38-1,"",E68/(1+'General inputs'!$H$32)^C68)</f>
        <v>468.37125592899685</v>
      </c>
      <c r="H68" s="76">
        <f>IF(LEFT(D68,4)*1&lt;LEFT('General inputs'!$I$16,4)*1,"",IF(LEFT(D68,4)*1&gt;LEFT('General inputs'!$I$16,4)+'General inputs'!$H$38-1,"",E68/(1+'General inputs'!$H$34)^C68))</f>
        <v>468.37125592899685</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675553.21636483562</v>
      </c>
      <c r="R68" s="76">
        <f>IF(OR(LEFT(D68,4)*1&lt;LEFT('General inputs'!$I$16,4)*1,LEFT(D68,4)*1&gt;LEFT('General inputs'!$I$16,4)+'General inputs'!$H$38-1),"",Q68/(1+'General inputs'!$H$34)^C68)</f>
        <v>648323.62415051402</v>
      </c>
      <c r="T68" s="81">
        <f>('Reduction amount'!J41)*SUM($E$67:E68)</f>
        <v>189028.04526280722</v>
      </c>
      <c r="U68" s="76">
        <f>IF(OR(LEFT(D68,4)*1&lt;LEFT('General inputs'!$I$16,4)*1,LEFT(D68,4)*1&gt;LEFT('General inputs'!$I$16,4)+'General inputs'!$H$38-1),"",T68/(1+'General inputs'!$H$34)^C68)</f>
        <v>181408.87261305875</v>
      </c>
      <c r="V68" s="47"/>
      <c r="W68" s="31"/>
      <c r="X68" s="31"/>
    </row>
    <row r="69" spans="2:24" x14ac:dyDescent="0.25">
      <c r="B69" s="46"/>
      <c r="C69" s="26">
        <f>IF(D69='General inputs'!$I$16,0,IF(D69&lt;'General inputs'!$I$16,C70-1,C68+1))</f>
        <v>2</v>
      </c>
      <c r="D69" s="26" t="str">
        <f t="shared" si="1"/>
        <v>2024-25</v>
      </c>
      <c r="E69" s="76">
        <f>IF(LEFT(D69,4)*1&gt;LEFT('General inputs'!$I$16,4)+'General inputs'!$H$38-1,"",'ET inputs'!D41)</f>
        <v>491.33372160664294</v>
      </c>
      <c r="F69" s="76">
        <f>IF(LEFT(D69,4)*1&gt;LEFT('General inputs'!$I$16,4)+'General inputs'!$H$38-1,"",E69/(1+'General inputs'!$H$30)^C69)</f>
        <v>463.12915600588457</v>
      </c>
      <c r="G69" s="76">
        <f>IF(LEFT(D69,4)*1&gt;LEFT('General inputs'!$I$16,4)+'General inputs'!$H$38-1,"",E69/(1+'General inputs'!$H$32)^C69)</f>
        <v>452.52349645654385</v>
      </c>
      <c r="H69" s="76">
        <f>IF(LEFT(D69,4)*1&lt;LEFT('General inputs'!$I$16,4)*1,"",IF(LEFT(D69,4)*1&gt;LEFT('General inputs'!$I$16,4)+'General inputs'!$H$38-1,"",E69/(1+'General inputs'!$H$34)^C69))</f>
        <v>452.52349645654385</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820841.5</v>
      </c>
      <c r="O69" s="177">
        <f>IF(N69="","",N69/(1+'General inputs'!$H$32)^C69)</f>
        <v>756003.60667695734</v>
      </c>
      <c r="Q69" s="81">
        <f>'Reduction amount'!E42*SUM($E$67:E69)</f>
        <v>1016750.0926601366</v>
      </c>
      <c r="R69" s="76">
        <f>IF(OR(LEFT(D69,4)*1&lt;LEFT('General inputs'!$I$16,4)*1,LEFT(D69,4)*1&gt;LEFT('General inputs'!$I$16,4)+'General inputs'!$H$38-1),"",Q69/(1+'General inputs'!$H$34)^C69)</f>
        <v>936437.46952388959</v>
      </c>
      <c r="T69" s="81">
        <f>('Reduction amount'!J42)*SUM($E$67:E69)</f>
        <v>285655.77967252664</v>
      </c>
      <c r="U69" s="76">
        <f>IF(OR(LEFT(D69,4)*1&lt;LEFT('General inputs'!$I$16,4)*1,LEFT(D69,4)*1&gt;LEFT('General inputs'!$I$16,4)+'General inputs'!$H$38-1),"",T69/(1+'General inputs'!$H$34)^C69)</f>
        <v>263091.96075070329</v>
      </c>
      <c r="V69" s="47"/>
      <c r="W69" s="31"/>
      <c r="X69" s="31"/>
    </row>
    <row r="70" spans="2:24" x14ac:dyDescent="0.25">
      <c r="B70" s="46"/>
      <c r="C70" s="26">
        <f>IF(D70='General inputs'!$I$16,0,IF(D70&lt;'General inputs'!$I$16,C71-1,C69+1))</f>
        <v>3</v>
      </c>
      <c r="D70" s="26" t="str">
        <f t="shared" si="1"/>
        <v>2025-26</v>
      </c>
      <c r="E70" s="76">
        <f>IF(LEFT(D70,4)*1&gt;LEFT('General inputs'!$I$16,4)+'General inputs'!$H$38-1,"",'ET inputs'!D42)</f>
        <v>494.64678489144717</v>
      </c>
      <c r="F70" s="76">
        <f>IF(LEFT(D70,4)*1&gt;LEFT('General inputs'!$I$16,4)+'General inputs'!$H$38-1,"",E70/(1+'General inputs'!$H$30)^C70)</f>
        <v>452.67187951926434</v>
      </c>
      <c r="G70" s="76">
        <f>IF(LEFT(D70,4)*1&gt;LEFT('General inputs'!$I$16,4)+'General inputs'!$H$38-1,"",E70/(1+'General inputs'!$H$32)^C70)</f>
        <v>437.21196007021121</v>
      </c>
      <c r="H70" s="76">
        <f>IF(LEFT(D70,4)*1&lt;LEFT('General inputs'!$I$16,4)*1,"",IF(LEFT(D70,4)*1&gt;LEFT('General inputs'!$I$16,4)+'General inputs'!$H$38-1,"",E70/(1+'General inputs'!$H$34)^C70))</f>
        <v>437.21196007021121</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1360247.6594923043</v>
      </c>
      <c r="R70" s="76">
        <f>IF(OR(LEFT(D70,4)*1&lt;LEFT('General inputs'!$I$16,4)*1,LEFT(D70,4)*1&gt;LEFT('General inputs'!$I$16,4)+'General inputs'!$H$38-1),"",Q70/(1+'General inputs'!$H$34)^C70)</f>
        <v>1202305.4906099536</v>
      </c>
      <c r="T70" s="81">
        <f>('Reduction amount'!J43)*SUM($E$67:E70)</f>
        <v>370291.05532656313</v>
      </c>
      <c r="U70" s="76">
        <f>IF(OR(LEFT(D70,4)*1&lt;LEFT('General inputs'!$I$16,4)*1,LEFT(D70,4)*1&gt;LEFT('General inputs'!$I$16,4)+'General inputs'!$H$38-1),"",T70/(1+'General inputs'!$H$34)^C70)</f>
        <v>327295.52286753978</v>
      </c>
      <c r="V70" s="47"/>
      <c r="W70" s="31"/>
      <c r="X70" s="31"/>
    </row>
    <row r="71" spans="2:24" x14ac:dyDescent="0.25">
      <c r="B71" s="46"/>
      <c r="C71" s="26">
        <f>IF(D71='General inputs'!$I$16,0,IF(D71&lt;'General inputs'!$I$16,C72-1,C70+1))</f>
        <v>4</v>
      </c>
      <c r="D71" s="26" t="str">
        <f t="shared" si="1"/>
        <v>2026-27</v>
      </c>
      <c r="E71" s="76">
        <f>IF(LEFT(D71,4)*1&gt;LEFT('General inputs'!$I$16,4)+'General inputs'!$H$38-1,"",'ET inputs'!D43)</f>
        <v>497.98218816195731</v>
      </c>
      <c r="F71" s="76">
        <f>IF(LEFT(D71,4)*1&gt;LEFT('General inputs'!$I$16,4)+'General inputs'!$H$38-1,"",E71/(1+'General inputs'!$H$30)^C71)</f>
        <v>442.45072427461258</v>
      </c>
      <c r="G71" s="76">
        <f>IF(LEFT(D71,4)*1&gt;LEFT('General inputs'!$I$16,4)+'General inputs'!$H$38-1,"",E71/(1+'General inputs'!$H$32)^C71)</f>
        <v>422.41850318325646</v>
      </c>
      <c r="H71" s="76">
        <f>IF(LEFT(D71,4)*1&lt;LEFT('General inputs'!$I$16,4)*1,"",IF(LEFT(D71,4)*1&gt;LEFT('General inputs'!$I$16,4)+'General inputs'!$H$38-1,"",E71/(1+'General inputs'!$H$34)^C71))</f>
        <v>422.41850318325646</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1706061.4304176122</v>
      </c>
      <c r="R71" s="76">
        <f>IF(OR(LEFT(D71,4)*1&lt;LEFT('General inputs'!$I$16,4)*1,LEFT(D71,4)*1&gt;LEFT('General inputs'!$I$16,4)+'General inputs'!$H$38-1),"",Q71/(1+'General inputs'!$H$34)^C71)</f>
        <v>1447184.1220580183</v>
      </c>
      <c r="T71" s="81">
        <f>('Reduction amount'!J44)*SUM($E$67:E71)</f>
        <v>459294.93889459356</v>
      </c>
      <c r="U71" s="76">
        <f>IF(OR(LEFT(D71,4)*1&lt;LEFT('General inputs'!$I$16,4)*1,LEFT(D71,4)*1&gt;LEFT('General inputs'!$I$16,4)+'General inputs'!$H$38-1),"",T71/(1+'General inputs'!$H$34)^C71)</f>
        <v>389601.6468452494</v>
      </c>
      <c r="V71" s="47"/>
      <c r="W71" s="31"/>
      <c r="X71" s="31"/>
    </row>
    <row r="72" spans="2:24" x14ac:dyDescent="0.25">
      <c r="B72" s="46"/>
      <c r="C72" s="26">
        <f>IF(D72='General inputs'!$I$16,0,IF(D72&lt;'General inputs'!$I$16,C73-1,C71+1))</f>
        <v>5</v>
      </c>
      <c r="D72" s="26" t="str">
        <f t="shared" si="1"/>
        <v>2027-28</v>
      </c>
      <c r="E72" s="76">
        <f>IF(LEFT(D72,4)*1&gt;LEFT('General inputs'!$I$16,4)+'General inputs'!$H$38-1,"",'ET inputs'!D44)</f>
        <v>501.34008205674763</v>
      </c>
      <c r="F72" s="76">
        <f>IF(LEFT(D72,4)*1&gt;LEFT('General inputs'!$I$16,4)+'General inputs'!$H$38-1,"",E72/(1+'General inputs'!$H$30)^C72)</f>
        <v>432.46035874602813</v>
      </c>
      <c r="G72" s="76">
        <f>IF(LEFT(D72,4)*1&gt;LEFT('General inputs'!$I$16,4)+'General inputs'!$H$38-1,"",E72/(1+'General inputs'!$H$32)^C72)</f>
        <v>408.12559611346757</v>
      </c>
      <c r="H72" s="76">
        <f>IF(LEFT(D72,4)*1&lt;LEFT('General inputs'!$I$16,4)*1,"",IF(LEFT(D72,4)*1&gt;LEFT('General inputs'!$I$16,4)+'General inputs'!$H$38-1,"",E72/(1+'General inputs'!$H$34)^C72))</f>
        <v>408.12559611346757</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11159771.550000001</v>
      </c>
      <c r="O72" s="177">
        <f>IF(N72="","",N72/(1+'General inputs'!$H$32)^C72)</f>
        <v>9084828.0026776791</v>
      </c>
      <c r="Q72" s="81">
        <f>'Reduction amount'!E45*SUM($E$67:E72)</f>
        <v>2054207.0236002796</v>
      </c>
      <c r="R72" s="76">
        <f>IF(OR(LEFT(D72,4)*1&lt;LEFT('General inputs'!$I$16,4)*1,LEFT(D72,4)*1&gt;LEFT('General inputs'!$I$16,4)+'General inputs'!$H$38-1),"",Q72/(1+'General inputs'!$H$34)^C72)</f>
        <v>1672266.9821409548</v>
      </c>
      <c r="T72" s="81">
        <f>('Reduction amount'!J45)*SUM($E$67:E72)</f>
        <v>549884.86041365715</v>
      </c>
      <c r="U72" s="76">
        <f>IF(OR(LEFT(D72,4)*1&lt;LEFT('General inputs'!$I$16,4)*1,LEFT(D72,4)*1&gt;LEFT('General inputs'!$I$16,4)+'General inputs'!$H$38-1),"",T72/(1+'General inputs'!$H$34)^C72)</f>
        <v>447644.41241044033</v>
      </c>
      <c r="V72" s="47"/>
      <c r="W72" s="31"/>
      <c r="X72" s="31"/>
    </row>
    <row r="73" spans="2:24" x14ac:dyDescent="0.25">
      <c r="B73" s="46"/>
      <c r="C73" s="26">
        <f>IF(D73='General inputs'!$I$16,0,IF(D73&lt;'General inputs'!$I$16,C74-1,C72+1))</f>
        <v>6</v>
      </c>
      <c r="D73" s="26" t="str">
        <f t="shared" si="1"/>
        <v>2028-29</v>
      </c>
      <c r="E73" s="76">
        <f>IF(LEFT(D73,4)*1&gt;LEFT('General inputs'!$I$16,4)+'General inputs'!$H$38-1,"",'ET inputs'!D45)</f>
        <v>504.72061823005788</v>
      </c>
      <c r="F73" s="76">
        <f>IF(LEFT(D73,4)*1&gt;LEFT('General inputs'!$I$16,4)+'General inputs'!$H$38-1,"",E73/(1+'General inputs'!$H$30)^C73)</f>
        <v>422.69557179131453</v>
      </c>
      <c r="G73" s="76">
        <f>IF(LEFT(D73,4)*1&gt;LEFT('General inputs'!$I$16,4)+'General inputs'!$H$38-1,"",E73/(1+'General inputs'!$H$32)^C73)</f>
        <v>394.3163023109999</v>
      </c>
      <c r="H73" s="76">
        <f>IF(LEFT(D73,4)*1&lt;LEFT('General inputs'!$I$16,4)*1,"",IF(LEFT(D73,4)*1&gt;LEFT('General inputs'!$I$16,4)+'General inputs'!$H$38-1,"",E73/(1+'General inputs'!$H$34)^C73))</f>
        <v>394.3163023109999</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2404700.1625177786</v>
      </c>
      <c r="R73" s="76">
        <f>IF(OR(LEFT(D73,4)*1&lt;LEFT('General inputs'!$I$16,4)*1,LEFT(D73,4)*1&gt;LEFT('General inputs'!$I$16,4)+'General inputs'!$H$38-1),"",Q73/(1+'General inputs'!$H$34)^C73)</f>
        <v>1878687.8165901755</v>
      </c>
      <c r="T73" s="81">
        <f>('Reduction amount'!J46)*SUM($E$67:E73)</f>
        <v>643707.37613644265</v>
      </c>
      <c r="U73" s="76">
        <f>IF(OR(LEFT(D73,4)*1&lt;LEFT('General inputs'!$I$16,4)*1,LEFT(D73,4)*1&gt;LEFT('General inputs'!$I$16,4)+'General inputs'!$H$38-1),"",T73/(1+'General inputs'!$H$34)^C73)</f>
        <v>502900.62097828108</v>
      </c>
      <c r="V73" s="47"/>
      <c r="W73" s="31"/>
      <c r="X73" s="31"/>
    </row>
    <row r="74" spans="2:24" x14ac:dyDescent="0.25">
      <c r="B74" s="46"/>
      <c r="C74" s="26">
        <f>IF(D74='General inputs'!$I$16,0,IF(D74&lt;'General inputs'!$I$16,C75-1,C73+1))</f>
        <v>7</v>
      </c>
      <c r="D74" s="26" t="str">
        <f t="shared" si="1"/>
        <v>2029-30</v>
      </c>
      <c r="E74" s="76">
        <f>IF(LEFT(D74,4)*1&gt;LEFT('General inputs'!$I$16,4)+'General inputs'!$H$38-1,"",'ET inputs'!D46)</f>
        <v>508.12394935877819</v>
      </c>
      <c r="F74" s="76">
        <f>IF(LEFT(D74,4)*1&gt;LEFT('General inputs'!$I$16,4)+'General inputs'!$H$38-1,"",E74/(1+'General inputs'!$H$30)^C74)</f>
        <v>413.1512699338827</v>
      </c>
      <c r="G74" s="76">
        <f>IF(LEFT(D74,4)*1&gt;LEFT('General inputs'!$I$16,4)+'General inputs'!$H$38-1,"",E74/(1+'General inputs'!$H$32)^C74)</f>
        <v>380.97425828932734</v>
      </c>
      <c r="H74" s="76">
        <f>IF(LEFT(D74,4)*1&lt;LEFT('General inputs'!$I$16,4)*1,"",IF(LEFT(D74,4)*1&gt;LEFT('General inputs'!$I$16,4)+'General inputs'!$H$38-1,"",E74/(1+'General inputs'!$H$34)^C74))</f>
        <v>380.97425828932734</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2757556.6766709951</v>
      </c>
      <c r="R74" s="76">
        <f>IF(OR(LEFT(D74,4)*1&lt;LEFT('General inputs'!$I$16,4)*1,LEFT(D74,4)*1&gt;LEFT('General inputs'!$I$16,4)+'General inputs'!$H$38-1),"",Q74/(1+'General inputs'!$H$34)^C74)</f>
        <v>2067523.3098366174</v>
      </c>
      <c r="T74" s="81">
        <f>('Reduction amount'!J47)*SUM($E$67:E74)</f>
        <v>738162.53708274593</v>
      </c>
      <c r="U74" s="76">
        <f>IF(OR(LEFT(D74,4)*1&lt;LEFT('General inputs'!$I$16,4)*1,LEFT(D74,4)*1&gt;LEFT('General inputs'!$I$16,4)+'General inputs'!$H$38-1),"",T74/(1+'General inputs'!$H$34)^C74)</f>
        <v>553449.45936311618</v>
      </c>
      <c r="V74" s="47"/>
      <c r="W74" s="31"/>
      <c r="X74" s="31"/>
    </row>
    <row r="75" spans="2:24" x14ac:dyDescent="0.25">
      <c r="B75" s="46"/>
      <c r="C75" s="26">
        <f>IF(D75='General inputs'!$I$16,0,IF(D75&lt;'General inputs'!$I$16,C76-1,C74+1))</f>
        <v>8</v>
      </c>
      <c r="D75" s="26" t="str">
        <f t="shared" si="1"/>
        <v>2030-31</v>
      </c>
      <c r="E75" s="76">
        <f>IF(LEFT(D75,4)*1&gt;LEFT('General inputs'!$I$16,4)+'General inputs'!$H$38-1,"",'ET inputs'!D47)</f>
        <v>511.5502291492885</v>
      </c>
      <c r="F75" s="76">
        <f>IF(LEFT(D75,4)*1&gt;LEFT('General inputs'!$I$16,4)+'General inputs'!$H$38-1,"",E75/(1+'General inputs'!$H$30)^C75)</f>
        <v>403.82247470585821</v>
      </c>
      <c r="G75" s="76">
        <f>IF(LEFT(D75,4)*1&gt;LEFT('General inputs'!$I$16,4)+'General inputs'!$H$38-1,"",E75/(1+'General inputs'!$H$32)^C75)</f>
        <v>368.08365423508667</v>
      </c>
      <c r="H75" s="76">
        <f>IF(LEFT(D75,4)*1&lt;LEFT('General inputs'!$I$16,4)*1,"",IF(LEFT(D75,4)*1&gt;LEFT('General inputs'!$I$16,4)+'General inputs'!$H$38-1,"",E75/(1+'General inputs'!$H$34)^C75))</f>
        <v>368.08365423508667</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3112792.5022991351</v>
      </c>
      <c r="R75" s="76">
        <f>IF(OR(LEFT(D75,4)*1&lt;LEFT('General inputs'!$I$16,4)*1,LEFT(D75,4)*1&gt;LEFT('General inputs'!$I$16,4)+'General inputs'!$H$38-1),"",Q75/(1+'General inputs'!$H$34)^C75)</f>
        <v>2239795.7694736351</v>
      </c>
      <c r="T75" s="81">
        <f>('Reduction amount'!J48)*SUM($E$67:E75)</f>
        <v>833254.60917930712</v>
      </c>
      <c r="U75" s="76">
        <f>IF(OR(LEFT(D75,4)*1&lt;LEFT('General inputs'!$I$16,4)*1,LEFT(D75,4)*1&gt;LEFT('General inputs'!$I$16,4)+'General inputs'!$H$38-1),"",T75/(1+'General inputs'!$H$34)^C75)</f>
        <v>599564.5861893266</v>
      </c>
      <c r="V75" s="47"/>
      <c r="W75" s="31"/>
      <c r="X75" s="31"/>
    </row>
    <row r="76" spans="2:24" x14ac:dyDescent="0.25">
      <c r="B76" s="46"/>
      <c r="C76" s="26">
        <f>IF(D76='General inputs'!$I$16,0,IF(D76&lt;'General inputs'!$I$16,C77-1,C75+1))</f>
        <v>9</v>
      </c>
      <c r="D76" s="26" t="str">
        <f t="shared" si="1"/>
        <v>2031-32</v>
      </c>
      <c r="E76" s="76">
        <f>IF(LEFT(D76,4)*1&gt;LEFT('General inputs'!$I$16,4)+'General inputs'!$H$38-1,"",'ET inputs'!D48)</f>
        <v>514.999612344458</v>
      </c>
      <c r="F76" s="76">
        <f>IF(LEFT(D76,4)*1&gt;LEFT('General inputs'!$I$16,4)+'General inputs'!$H$38-1,"",E76/(1+'General inputs'!$H$30)^C76)</f>
        <v>394.70432005127412</v>
      </c>
      <c r="G76" s="76">
        <f>IF(LEFT(D76,4)*1&gt;LEFT('General inputs'!$I$16,4)+'General inputs'!$H$38-1,"",E76/(1+'General inputs'!$H$32)^C76)</f>
        <v>355.62921527409333</v>
      </c>
      <c r="H76" s="76">
        <f>IF(LEFT(D76,4)*1&lt;LEFT('General inputs'!$I$16,4)*1,"",IF(LEFT(D76,4)*1&gt;LEFT('General inputs'!$I$16,4)+'General inputs'!$H$38-1,"",E76/(1+'General inputs'!$H$34)^C76))</f>
        <v>355.62921527409333</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3470423.6830994971</v>
      </c>
      <c r="R76" s="76">
        <f>IF(OR(LEFT(D76,4)*1&lt;LEFT('General inputs'!$I$16,4)*1,LEFT(D76,4)*1&gt;LEFT('General inputs'!$I$16,4)+'General inputs'!$H$38-1),"",Q76/(1+'General inputs'!$H$34)^C76)</f>
        <v>2396475.689507544</v>
      </c>
      <c r="T76" s="81">
        <f>('Reduction amount'!J49)*SUM($E$67:E76)</f>
        <v>928987.88711801847</v>
      </c>
      <c r="U76" s="76">
        <f>IF(OR(LEFT(D76,4)*1&lt;LEFT('General inputs'!$I$16,4)*1,LEFT(D76,4)*1&gt;LEFT('General inputs'!$I$16,4)+'General inputs'!$H$38-1),"",T76/(1+'General inputs'!$H$34)^C76)</f>
        <v>641505.79024891986</v>
      </c>
      <c r="V76" s="47"/>
      <c r="W76" s="31"/>
      <c r="X76" s="31"/>
    </row>
    <row r="77" spans="2:24" x14ac:dyDescent="0.25">
      <c r="B77" s="46"/>
      <c r="C77" s="26">
        <f>IF(D77='General inputs'!$I$16,0,IF(D77&lt;'General inputs'!$I$16,C78-1,C76+1))</f>
        <v>10</v>
      </c>
      <c r="D77" s="26" t="str">
        <f t="shared" si="1"/>
        <v>2032-33</v>
      </c>
      <c r="E77" s="76">
        <f>IF(LEFT(D77,4)*1&gt;LEFT('General inputs'!$I$16,4)+'General inputs'!$H$38-1,"",'ET inputs'!D49)</f>
        <v>518.47225473049912</v>
      </c>
      <c r="F77" s="76">
        <f>IF(LEFT(D77,4)*1&gt;LEFT('General inputs'!$I$16,4)+'General inputs'!$H$38-1,"",E77/(1+'General inputs'!$H$30)^C77)</f>
        <v>385.79204978774925</v>
      </c>
      <c r="G77" s="76">
        <f>IF(LEFT(D77,4)*1&gt;LEFT('General inputs'!$I$16,4)+'General inputs'!$H$38-1,"",E77/(1+'General inputs'!$H$32)^C77)</f>
        <v>343.59618337110192</v>
      </c>
      <c r="H77" s="76">
        <f>IF(LEFT(D77,4)*1&lt;LEFT('General inputs'!$I$16,4)*1,"",IF(LEFT(D77,4)*1&gt;LEFT('General inputs'!$I$16,4)+'General inputs'!$H$38-1,"",E77/(1+'General inputs'!$H$34)^C77))</f>
        <v>343.59618337110192</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3830466.3709519976</v>
      </c>
      <c r="R77" s="76">
        <f>IF(OR(LEFT(D77,4)*1&lt;LEFT('General inputs'!$I$16,4)*1,LEFT(D77,4)*1&gt;LEFT('General inputs'!$I$16,4)+'General inputs'!$H$38-1),"",Q77/(1+'General inputs'!$H$34)^C77)</f>
        <v>2538484.1977216033</v>
      </c>
      <c r="T77" s="81">
        <f>('Reduction amount'!J50)*SUM($E$67:E77)</f>
        <v>1025366.6945498709</v>
      </c>
      <c r="U77" s="76">
        <f>IF(OR(LEFT(D77,4)*1&lt;LEFT('General inputs'!$I$16,4)*1,LEFT(D77,4)*1&gt;LEFT('General inputs'!$I$16,4)+'General inputs'!$H$38-1),"",T77/(1+'General inputs'!$H$34)^C77)</f>
        <v>679519.6456294643</v>
      </c>
      <c r="V77" s="47"/>
      <c r="W77" s="31"/>
      <c r="X77" s="31"/>
    </row>
    <row r="78" spans="2:24" x14ac:dyDescent="0.25">
      <c r="B78" s="46"/>
      <c r="C78" s="26">
        <f>IF(D78='General inputs'!$I$16,0,IF(D78&lt;'General inputs'!$I$16,C79-1,C77+1))</f>
        <v>11</v>
      </c>
      <c r="D78" s="26" t="str">
        <f t="shared" si="1"/>
        <v>2033-34</v>
      </c>
      <c r="E78" s="76">
        <f>IF(LEFT(D78,4)*1&gt;LEFT('General inputs'!$I$16,4)+'General inputs'!$H$38-1,"",'ET inputs'!D50)</f>
        <v>521.96831314414158</v>
      </c>
      <c r="F78" s="76">
        <f>IF(LEFT(D78,4)*1&gt;LEFT('General inputs'!$I$16,4)+'General inputs'!$H$38-1,"",E78/(1+'General inputs'!$H$30)^C78)</f>
        <v>377.08101512569328</v>
      </c>
      <c r="G78" s="76">
        <f>IF(LEFT(D78,4)*1&gt;LEFT('General inputs'!$I$16,4)+'General inputs'!$H$38-1,"",E78/(1+'General inputs'!$H$32)^C78)</f>
        <v>331.97029984219745</v>
      </c>
      <c r="H78" s="76">
        <f>IF(LEFT(D78,4)*1&lt;LEFT('General inputs'!$I$16,4)*1,"",IF(LEFT(D78,4)*1&gt;LEFT('General inputs'!$I$16,4)+'General inputs'!$H$38-1,"",E78/(1+'General inputs'!$H$34)^C78))</f>
        <v>331.97029984219745</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4192936.8266486838</v>
      </c>
      <c r="R78" s="76">
        <f>IF(OR(LEFT(D78,4)*1&lt;LEFT('General inputs'!$I$16,4)*1,LEFT(D78,4)*1&gt;LEFT('General inputs'!$I$16,4)+'General inputs'!$H$38-1),"",Q78/(1+'General inputs'!$H$34)^C78)</f>
        <v>2666695.3922499386</v>
      </c>
      <c r="T78" s="81">
        <f>('Reduction amount'!J51)*SUM($E$67:E78)</f>
        <v>1122395.3842802353</v>
      </c>
      <c r="U78" s="76">
        <f>IF(OR(LEFT(D78,4)*1&lt;LEFT('General inputs'!$I$16,4)*1,LEFT(D78,4)*1&gt;LEFT('General inputs'!$I$16,4)+'General inputs'!$H$38-1),"",T78/(1+'General inputs'!$H$34)^C78)</f>
        <v>713840.13718494447</v>
      </c>
      <c r="V78" s="47"/>
      <c r="W78" s="31"/>
      <c r="X78" s="31"/>
    </row>
    <row r="79" spans="2:24" x14ac:dyDescent="0.25">
      <c r="B79" s="46"/>
      <c r="C79" s="26">
        <f>IF(D79='General inputs'!$I$16,0,IF(D79&lt;'General inputs'!$I$16,C80-1,C78+1))</f>
        <v>12</v>
      </c>
      <c r="D79" s="26" t="str">
        <f t="shared" si="1"/>
        <v>2034-35</v>
      </c>
      <c r="E79" s="76">
        <f>IF(LEFT(D79,4)*1&gt;LEFT('General inputs'!$I$16,4)+'General inputs'!$H$38-1,"",'ET inputs'!D51)</f>
        <v>525.48794547967555</v>
      </c>
      <c r="F79" s="76">
        <f>IF(LEFT(D79,4)*1&gt;LEFT('General inputs'!$I$16,4)+'General inputs'!$H$38-1,"",E79/(1+'General inputs'!$H$30)^C79)</f>
        <v>368.56667224338645</v>
      </c>
      <c r="G79" s="76">
        <f>IF(LEFT(D79,4)*1&gt;LEFT('General inputs'!$I$16,4)+'General inputs'!$H$38-1,"",E79/(1+'General inputs'!$H$32)^C79)</f>
        <v>320.73778845876706</v>
      </c>
      <c r="H79" s="76">
        <f>IF(LEFT(D79,4)*1&lt;LEFT('General inputs'!$I$16,4)*1,"",IF(LEFT(D79,4)*1&gt;LEFT('General inputs'!$I$16,4)+'General inputs'!$H$38-1,"",E79/(1+'General inputs'!$H$34)^C79))</f>
        <v>320.73778845876706</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4557851.4206281351</v>
      </c>
      <c r="R79" s="76">
        <f>IF(OR(LEFT(D79,4)*1&lt;LEFT('General inputs'!$I$16,4)*1,LEFT(D79,4)*1&gt;LEFT('General inputs'!$I$16,4)+'General inputs'!$H$38-1),"",Q79/(1+'General inputs'!$H$34)^C79)</f>
        <v>2781938.5722378269</v>
      </c>
      <c r="T79" s="81">
        <f>('Reduction amount'!J52)*SUM($E$67:E79)</f>
        <v>1220078.3384654522</v>
      </c>
      <c r="U79" s="76">
        <f>IF(OR(LEFT(D79,4)*1&lt;LEFT('General inputs'!$I$16,4)*1,LEFT(D79,4)*1&gt;LEFT('General inputs'!$I$16,4)+'General inputs'!$H$38-1),"",T79/(1+'General inputs'!$H$34)^C79)</f>
        <v>744689.25765489624</v>
      </c>
      <c r="V79" s="47"/>
      <c r="W79" s="31"/>
      <c r="X79" s="31"/>
    </row>
    <row r="80" spans="2:24" x14ac:dyDescent="0.25">
      <c r="B80" s="46"/>
      <c r="C80" s="26">
        <f>IF(D80='General inputs'!$I$16,0,IF(D80&lt;'General inputs'!$I$16,C81-1,C79+1))</f>
        <v>13</v>
      </c>
      <c r="D80" s="26" t="str">
        <f t="shared" si="1"/>
        <v>2035-36</v>
      </c>
      <c r="E80" s="76">
        <f>IF(LEFT(D80,4)*1&gt;LEFT('General inputs'!$I$16,4)+'General inputs'!$H$38-1,"",'ET inputs'!D52)</f>
        <v>529.03131069603842</v>
      </c>
      <c r="F80" s="76">
        <f>IF(LEFT(D80,4)*1&gt;LEFT('General inputs'!$I$16,4)+'General inputs'!$H$38-1,"",E80/(1+'General inputs'!$H$30)^C80)</f>
        <v>360.24457991681459</v>
      </c>
      <c r="G80" s="76">
        <f>IF(LEFT(D80,4)*1&gt;LEFT('General inputs'!$I$16,4)+'General inputs'!$H$38-1,"",E80/(1+'General inputs'!$H$32)^C80)</f>
        <v>309.88533912316745</v>
      </c>
      <c r="H80" s="76">
        <f>IF(LEFT(D80,4)*1&lt;LEFT('General inputs'!$I$16,4)*1,"",IF(LEFT(D80,4)*1&gt;LEFT('General inputs'!$I$16,4)+'General inputs'!$H$38-1,"",E80/(1+'General inputs'!$H$34)^C80))</f>
        <v>309.88533912316745</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4925226.6337147849</v>
      </c>
      <c r="R80" s="76">
        <f>IF(OR(LEFT(D80,4)*1&lt;LEFT('General inputs'!$I$16,4)*1,LEFT(D80,4)*1&gt;LEFT('General inputs'!$I$16,4)+'General inputs'!$H$38-1),"",Q80/(1+'General inputs'!$H$34)^C80)</f>
        <v>2885000.3672544286</v>
      </c>
      <c r="T80" s="81">
        <f>('Reduction amount'!J53)*SUM($E$67:E80)</f>
        <v>1318419.9688107388</v>
      </c>
      <c r="U80" s="76">
        <f>IF(OR(LEFT(D80,4)*1&lt;LEFT('General inputs'!$I$16,4)*1,LEFT(D80,4)*1&gt;LEFT('General inputs'!$I$16,4)+'General inputs'!$H$38-1),"",T80/(1+'General inputs'!$H$34)^C80)</f>
        <v>772277.57768086868</v>
      </c>
      <c r="V80" s="47"/>
      <c r="W80" s="31"/>
      <c r="X80" s="31"/>
    </row>
    <row r="81" spans="2:24" x14ac:dyDescent="0.25">
      <c r="B81" s="46"/>
      <c r="C81" s="26">
        <f>IF(D81='General inputs'!$I$16,0,IF(D81&lt;'General inputs'!$I$16,C82-1,C80+1))</f>
        <v>14</v>
      </c>
      <c r="D81" s="26" t="str">
        <f t="shared" si="1"/>
        <v>2036-37</v>
      </c>
      <c r="E81" s="76">
        <f>IF(LEFT(D81,4)*1&gt;LEFT('General inputs'!$I$16,4)+'General inputs'!$H$38-1,"",'ET inputs'!D53)</f>
        <v>532.59856882407621</v>
      </c>
      <c r="F81" s="76">
        <f>IF(LEFT(D81,4)*1&gt;LEFT('General inputs'!$I$16,4)+'General inputs'!$H$38-1,"",E81/(1+'General inputs'!$H$30)^C81)</f>
        <v>352.11039720311015</v>
      </c>
      <c r="G81" s="76">
        <f>IF(LEFT(D81,4)*1&gt;LEFT('General inputs'!$I$16,4)+'General inputs'!$H$38-1,"",E81/(1+'General inputs'!$H$32)^C81)</f>
        <v>299.40009209681705</v>
      </c>
      <c r="H81" s="76">
        <f>IF(LEFT(D81,4)*1&lt;LEFT('General inputs'!$I$16,4)*1,"",IF(LEFT(D81,4)*1&gt;LEFT('General inputs'!$I$16,4)+'General inputs'!$H$38-1,"",E81/(1+'General inputs'!$H$34)^C81))</f>
        <v>299.40009209681705</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5295079.0578632886</v>
      </c>
      <c r="R81" s="76">
        <f>IF(OR(LEFT(D81,4)*1&lt;LEFT('General inputs'!$I$16,4)*1,LEFT(D81,4)*1&gt;LEFT('General inputs'!$I$16,4)+'General inputs'!$H$38-1),"",Q81/(1+'General inputs'!$H$34)^C81)</f>
        <v>2976626.7699225741</v>
      </c>
      <c r="T81" s="81">
        <f>('Reduction amount'!J54)*SUM($E$67:E81)</f>
        <v>1417424.7167694464</v>
      </c>
      <c r="U81" s="76">
        <f>IF(OR(LEFT(D81,4)*1&lt;LEFT('General inputs'!$I$16,4)*1,LEFT(D81,4)*1&gt;LEFT('General inputs'!$I$16,4)+'General inputs'!$H$38-1),"",T81/(1+'General inputs'!$H$34)^C81)</f>
        <v>796804.78991533676</v>
      </c>
      <c r="V81" s="47"/>
      <c r="W81" s="31"/>
      <c r="X81" s="31"/>
    </row>
    <row r="82" spans="2:24" x14ac:dyDescent="0.25">
      <c r="B82" s="46"/>
      <c r="C82" s="26">
        <f>IF(D82='General inputs'!$I$16,0,IF(D82&lt;'General inputs'!$I$16,C83-1,C81+1))</f>
        <v>15</v>
      </c>
      <c r="D82" s="26" t="str">
        <f t="shared" si="1"/>
        <v>2037-38</v>
      </c>
      <c r="E82" s="76">
        <f>IF(LEFT(D82,4)*1&gt;LEFT('General inputs'!$I$16,4)+'General inputs'!$H$38-1,"",'ET inputs'!D54)</f>
        <v>536.1898809736449</v>
      </c>
      <c r="F82" s="76">
        <f>IF(LEFT(D82,4)*1&gt;LEFT('General inputs'!$I$16,4)+'General inputs'!$H$38-1,"",E82/(1+'General inputs'!$H$30)^C82)</f>
        <v>344.15988117615797</v>
      </c>
      <c r="G82" s="76">
        <f>IF(LEFT(D82,4)*1&gt;LEFT('General inputs'!$I$16,4)+'General inputs'!$H$38-1,"",E82/(1+'General inputs'!$H$32)^C82)</f>
        <v>289.26962276182252</v>
      </c>
      <c r="H82" s="76">
        <f>IF(LEFT(D82,4)*1&lt;LEFT('General inputs'!$I$16,4)*1,"",IF(LEFT(D82,4)*1&gt;LEFT('General inputs'!$I$16,4)+'General inputs'!$H$38-1,"",E82/(1+'General inputs'!$H$34)^C82))</f>
        <v>289.26962276182252</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5667425.3969078166</v>
      </c>
      <c r="R82" s="76">
        <f>IF(OR(LEFT(D82,4)*1&lt;LEFT('General inputs'!$I$16,4)*1,LEFT(D82,4)*1&gt;LEFT('General inputs'!$I$16,4)+'General inputs'!$H$38-1),"",Q82/(1+'General inputs'!$H$34)^C82)</f>
        <v>3057525.0760371545</v>
      </c>
      <c r="T82" s="81">
        <f>('Reduction amount'!J55)*SUM($E$67:E82)</f>
        <v>1517097.0537436372</v>
      </c>
      <c r="U82" s="76">
        <f>IF(OR(LEFT(D82,4)*1&lt;LEFT('General inputs'!$I$16,4)*1,LEFT(D82,4)*1&gt;LEFT('General inputs'!$I$16,4)+'General inputs'!$H$38-1),"",T82/(1+'General inputs'!$H$34)^C82)</f>
        <v>818460.22836649709</v>
      </c>
      <c r="V82" s="47"/>
      <c r="W82" s="31"/>
      <c r="X82" s="31"/>
    </row>
    <row r="83" spans="2:24" x14ac:dyDescent="0.25">
      <c r="B83" s="46"/>
      <c r="C83" s="26">
        <f>IF(D83='General inputs'!$I$16,0,IF(D83&lt;'General inputs'!$I$16,C84-1,C82+1))</f>
        <v>16</v>
      </c>
      <c r="D83" s="26" t="str">
        <f t="shared" si="1"/>
        <v>2038-39</v>
      </c>
      <c r="E83" s="76">
        <f>IF(LEFT(D83,4)*1&gt;LEFT('General inputs'!$I$16,4)+'General inputs'!$H$38-1,"",'ET inputs'!D55)</f>
        <v>539.80540934104647</v>
      </c>
      <c r="F83" s="76">
        <f>IF(LEFT(D83,4)*1&gt;LEFT('General inputs'!$I$16,4)+'General inputs'!$H$38-1,"",E83/(1+'General inputs'!$H$30)^C83)</f>
        <v>336.38888471352084</v>
      </c>
      <c r="G83" s="76">
        <f>IF(LEFT(D83,4)*1&gt;LEFT('General inputs'!$I$16,4)+'General inputs'!$H$38-1,"",E83/(1+'General inputs'!$H$32)^C83)</f>
        <v>279.48192689837185</v>
      </c>
      <c r="H83" s="76">
        <f>IF(LEFT(D83,4)*1&lt;LEFT('General inputs'!$I$16,4)*1,"",IF(LEFT(D83,4)*1&gt;LEFT('General inputs'!$I$16,4)+'General inputs'!$H$38-1,"",E83/(1+'General inputs'!$H$34)^C83))</f>
        <v>279.48192689837185</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6042282.4673165195</v>
      </c>
      <c r="R83" s="76">
        <f>IF(OR(LEFT(D83,4)*1&lt;LEFT('General inputs'!$I$16,4)*1,LEFT(D83,4)*1&gt;LEFT('General inputs'!$I$16,4)+'General inputs'!$H$38-1),"",Q83/(1+'General inputs'!$H$34)^C83)</f>
        <v>3128365.7362591401</v>
      </c>
      <c r="T83" s="81">
        <f>('Reduction amount'!J56)*SUM($E$67:E83)</f>
        <v>1617441.4812860442</v>
      </c>
      <c r="U83" s="76">
        <f>IF(OR(LEFT(D83,4)*1&lt;LEFT('General inputs'!$I$16,4)*1,LEFT(D83,4)*1&gt;LEFT('General inputs'!$I$16,4)+'General inputs'!$H$38-1),"",T83/(1+'General inputs'!$H$34)^C83)</f>
        <v>837423.36407299736</v>
      </c>
      <c r="V83" s="47"/>
      <c r="W83" s="31"/>
      <c r="X83" s="31"/>
    </row>
    <row r="84" spans="2:24" x14ac:dyDescent="0.25">
      <c r="B84" s="46"/>
      <c r="C84" s="26">
        <f>IF(D84='General inputs'!$I$16,0,IF(D84&lt;'General inputs'!$I$16,C85-1,C83+1))</f>
        <v>17</v>
      </c>
      <c r="D84" s="26" t="str">
        <f t="shared" si="1"/>
        <v>2039-40</v>
      </c>
      <c r="E84" s="76">
        <f>IF(LEFT(D84,4)*1&gt;LEFT('General inputs'!$I$16,4)+'General inputs'!$H$38-1,"",'ET inputs'!D56)</f>
        <v>543.44531721624662</v>
      </c>
      <c r="F84" s="76">
        <f>IF(LEFT(D84,4)*1&gt;LEFT('General inputs'!$I$16,4)+'General inputs'!$H$38-1,"",E84/(1+'General inputs'!$H$30)^C84)</f>
        <v>328.79335433315782</v>
      </c>
      <c r="G84" s="76">
        <f>IF(LEFT(D84,4)*1&gt;LEFT('General inputs'!$I$16,4)+'General inputs'!$H$38-1,"",E84/(1+'General inputs'!$H$32)^C84)</f>
        <v>270.02540646012915</v>
      </c>
      <c r="H84" s="76">
        <f>IF(LEFT(D84,4)*1&lt;LEFT('General inputs'!$I$16,4)*1,"",IF(LEFT(D84,4)*1&gt;LEFT('General inputs'!$I$16,4)+'General inputs'!$H$38-1,"",E84/(1+'General inputs'!$H$34)^C84))</f>
        <v>270.02540646012915</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6419667.1989509976</v>
      </c>
      <c r="R84" s="76">
        <f>IF(OR(LEFT(D84,4)*1&lt;LEFT('General inputs'!$I$16,4)*1,LEFT(D84,4)*1&gt;LEFT('General inputs'!$I$16,4)+'General inputs'!$H$38-1),"",Q84/(1+'General inputs'!$H$34)^C84)</f>
        <v>3189784.1232951903</v>
      </c>
      <c r="T84" s="81">
        <f>('Reduction amount'!J57)*SUM($E$67:E84)</f>
        <v>1718462.5313033725</v>
      </c>
      <c r="U84" s="76">
        <f>IF(OR(LEFT(D84,4)*1&lt;LEFT('General inputs'!$I$16,4)*1,LEFT(D84,4)*1&gt;LEFT('General inputs'!$I$16,4)+'General inputs'!$H$38-1),"",T84/(1+'General inputs'!$H$34)^C84)</f>
        <v>853864.27815523942</v>
      </c>
      <c r="V84" s="47"/>
      <c r="W84" s="31"/>
      <c r="X84" s="31"/>
    </row>
    <row r="85" spans="2:24" x14ac:dyDescent="0.25">
      <c r="B85" s="46"/>
      <c r="C85" s="26">
        <f>IF(D85='General inputs'!$I$16,0,IF(D85&lt;'General inputs'!$I$16,C86-1,C84+1))</f>
        <v>18</v>
      </c>
      <c r="D85" s="26" t="str">
        <f t="shared" si="1"/>
        <v>2040-41</v>
      </c>
      <c r="E85" s="76">
        <f>IF(LEFT(D85,4)*1&gt;LEFT('General inputs'!$I$16,4)+'General inputs'!$H$38-1,"",'ET inputs'!D57)</f>
        <v>547.10976899022353</v>
      </c>
      <c r="F85" s="76">
        <f>IF(LEFT(D85,4)*1&gt;LEFT('General inputs'!$I$16,4)+'General inputs'!$H$38-1,"",E85/(1+'General inputs'!$H$30)^C85)</f>
        <v>321.36932807904742</v>
      </c>
      <c r="G85" s="76">
        <f>IF(LEFT(D85,4)*1&gt;LEFT('General inputs'!$I$16,4)+'General inputs'!$H$38-1,"",E85/(1+'General inputs'!$H$32)^C85)</f>
        <v>260.88885583098238</v>
      </c>
      <c r="H85" s="76">
        <f>IF(LEFT(D85,4)*1&lt;LEFT('General inputs'!$I$16,4)*1,"",IF(LEFT(D85,4)*1&gt;LEFT('General inputs'!$I$16,4)+'General inputs'!$H$38-1,"",E85/(1+'General inputs'!$H$34)^C85))</f>
        <v>260.88885583098238</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6799596.6358308783</v>
      </c>
      <c r="R85" s="76">
        <f>IF(OR(LEFT(D85,4)*1&lt;LEFT('General inputs'!$I$16,4)*1,LEFT(D85,4)*1&gt;LEFT('General inputs'!$I$16,4)+'General inputs'!$H$38-1),"",Q85/(1+'General inputs'!$H$34)^C85)</f>
        <v>3242382.2183036432</v>
      </c>
      <c r="T85" s="81">
        <f>('Reduction amount'!J58)*SUM($E$67:E85)</f>
        <v>1820164.766260965</v>
      </c>
      <c r="U85" s="76">
        <f>IF(OR(LEFT(D85,4)*1&lt;LEFT('General inputs'!$I$16,4)*1,LEFT(D85,4)*1&gt;LEFT('General inputs'!$I$16,4)+'General inputs'!$H$38-1),"",T85/(1+'General inputs'!$H$34)^C85)</f>
        <v>867944.11324462399</v>
      </c>
      <c r="V85" s="47"/>
      <c r="W85" s="31"/>
      <c r="X85" s="31"/>
    </row>
    <row r="86" spans="2:24" x14ac:dyDescent="0.25">
      <c r="B86" s="46"/>
      <c r="C86" s="26">
        <f>IF(D86='General inputs'!$I$16,0,IF(D86&lt;'General inputs'!$I$16,C87-1,C85+1))</f>
        <v>19</v>
      </c>
      <c r="D86" s="26" t="str">
        <f t="shared" si="1"/>
        <v>2041-42</v>
      </c>
      <c r="E86" s="76">
        <f>IF(LEFT(D86,4)*1&gt;LEFT('General inputs'!$I$16,4)+'General inputs'!$H$38-1,"",'ET inputs'!D58)</f>
        <v>550.79893016253482</v>
      </c>
      <c r="F86" s="76">
        <f>IF(LEFT(D86,4)*1&gt;LEFT('General inputs'!$I$16,4)+'General inputs'!$H$38-1,"",E86/(1+'General inputs'!$H$30)^C86)</f>
        <v>314.11293345465094</v>
      </c>
      <c r="G86" s="76">
        <f>IF(LEFT(D86,4)*1&gt;LEFT('General inputs'!$I$16,4)+'General inputs'!$H$38-1,"",E86/(1+'General inputs'!$H$32)^C86)</f>
        <v>252.06144854688631</v>
      </c>
      <c r="H86" s="76">
        <f>IF(LEFT(D86,4)*1&lt;LEFT('General inputs'!$I$16,4)*1,"",IF(LEFT(D86,4)*1&gt;LEFT('General inputs'!$I$16,4)+'General inputs'!$H$38-1,"",E86/(1+'General inputs'!$H$34)^C86))</f>
        <v>252.06144854688631</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7182087.9369036471</v>
      </c>
      <c r="R86" s="76">
        <f>IF(OR(LEFT(D86,4)*1&lt;LEFT('General inputs'!$I$16,4)*1,LEFT(D86,4)*1&gt;LEFT('General inputs'!$I$16,4)+'General inputs'!$H$38-1),"",Q86/(1+'General inputs'!$H$34)^C86)</f>
        <v>3286730.2201056262</v>
      </c>
      <c r="T86" s="81">
        <f>('Reduction amount'!J59)*SUM($E$67:E86)</f>
        <v>1922552.7793888787</v>
      </c>
      <c r="U86" s="76">
        <f>IF(OR(LEFT(D86,4)*1&lt;LEFT('General inputs'!$I$16,4)*1,LEFT(D86,4)*1&gt;LEFT('General inputs'!$I$16,4)+'General inputs'!$H$38-1),"",T86/(1+'General inputs'!$H$34)^C86)</f>
        <v>879815.50424871466</v>
      </c>
      <c r="V86" s="47"/>
      <c r="W86" s="31"/>
      <c r="X86" s="31"/>
    </row>
    <row r="87" spans="2:24" x14ac:dyDescent="0.25">
      <c r="B87" s="46"/>
      <c r="C87" s="26">
        <f>IF(D87='General inputs'!$I$16,0,IF(D87&lt;'General inputs'!$I$16,C88-1,C86+1))</f>
        <v>20</v>
      </c>
      <c r="D87" s="26" t="str">
        <f t="shared" si="1"/>
        <v>2042-43</v>
      </c>
      <c r="E87" s="76">
        <f>IF(LEFT(D87,4)*1&gt;LEFT('General inputs'!$I$16,4)+'General inputs'!$H$38-1,"",'ET inputs'!D59)</f>
        <v>554.51296734860807</v>
      </c>
      <c r="F87" s="76">
        <f>IF(LEFT(D87,4)*1&gt;LEFT('General inputs'!$I$16,4)+'General inputs'!$H$38-1,"",E87/(1+'General inputs'!$H$30)^C87)</f>
        <v>307.02038540284309</v>
      </c>
      <c r="G87" s="76">
        <f>IF(LEFT(D87,4)*1&gt;LEFT('General inputs'!$I$16,4)+'General inputs'!$H$38-1,"",E87/(1+'General inputs'!$H$32)^C87)</f>
        <v>243.53272446682544</v>
      </c>
      <c r="H87" s="76">
        <f>IF(LEFT(D87,4)*1&lt;LEFT('General inputs'!$I$16,4)*1,"",IF(LEFT(D87,4)*1&gt;LEFT('General inputs'!$I$16,4)+'General inputs'!$H$38-1,"",E87/(1+'General inputs'!$H$34)^C87))</f>
        <v>243.53272446682544</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7567158.3768195407</v>
      </c>
      <c r="R87" s="76">
        <f>IF(OR(LEFT(D87,4)*1&lt;LEFT('General inputs'!$I$16,4)*1,LEFT(D87,4)*1&gt;LEFT('General inputs'!$I$16,4)+'General inputs'!$H$38-1),"",Q87/(1+'General inputs'!$H$34)^C87)</f>
        <v>3323368.0806246507</v>
      </c>
      <c r="T87" s="81">
        <f>('Reduction amount'!J60)*SUM($E$67:E87)</f>
        <v>2025631.1948893114</v>
      </c>
      <c r="U87" s="76">
        <f>IF(OR(LEFT(D87,4)*1&lt;LEFT('General inputs'!$I$16,4)*1,LEFT(D87,4)*1&gt;LEFT('General inputs'!$I$16,4)+'General inputs'!$H$38-1),"",T87/(1+'General inputs'!$H$34)^C87)</f>
        <v>889622.98936871451</v>
      </c>
      <c r="V87" s="47"/>
      <c r="W87" s="31"/>
      <c r="X87" s="31"/>
    </row>
    <row r="88" spans="2:24" x14ac:dyDescent="0.25">
      <c r="B88" s="46"/>
      <c r="C88" s="26">
        <f>IF(D88='General inputs'!$I$16,0,IF(D88&lt;'General inputs'!$I$16,C89-1,C87+1))</f>
        <v>21</v>
      </c>
      <c r="D88" s="26" t="str">
        <f t="shared" si="1"/>
        <v>2043-44</v>
      </c>
      <c r="E88" s="76">
        <f>IF(LEFT(D88,4)*1&gt;LEFT('General inputs'!$I$16,4)+'General inputs'!$H$38-1,"",'ET inputs'!D60)</f>
        <v>558.25204828745336</v>
      </c>
      <c r="F88" s="76">
        <f>IF(LEFT(D88,4)*1&gt;LEFT('General inputs'!$I$16,4)+'General inputs'!$H$38-1,"",E88/(1+'General inputs'!$H$30)^C88)</f>
        <v>300.08798433167192</v>
      </c>
      <c r="G88" s="76">
        <f>IF(LEFT(D88,4)*1&gt;LEFT('General inputs'!$I$16,4)+'General inputs'!$H$38-1,"",E88/(1+'General inputs'!$H$32)^C88)</f>
        <v>235.29257737803383</v>
      </c>
      <c r="H88" s="76">
        <f>IF(LEFT(D88,4)*1&lt;LEFT('General inputs'!$I$16,4)*1,"",IF(LEFT(D88,4)*1&gt;LEFT('General inputs'!$I$16,4)+'General inputs'!$H$38-1,"",E88/(1+'General inputs'!$H$34)^C88))</f>
        <v>235.29257737803383</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7954825.3467117976</v>
      </c>
      <c r="R88" s="76">
        <f>IF(OR(LEFT(D88,4)*1&lt;LEFT('General inputs'!$I$16,4)*1,LEFT(D88,4)*1&gt;LEFT('General inputs'!$I$16,4)+'General inputs'!$H$38-1),"",Q88/(1+'General inputs'!$H$34)^C88)</f>
        <v>3352806.9698297903</v>
      </c>
      <c r="T88" s="81">
        <f>('Reduction amount'!J61)*SUM($E$67:E88)</f>
        <v>2129404.6681454661</v>
      </c>
      <c r="U88" s="76">
        <f>IF(OR(LEFT(D88,4)*1&lt;LEFT('General inputs'!$I$16,4)*1,LEFT(D88,4)*1&gt;LEFT('General inputs'!$I$16,4)+'General inputs'!$H$38-1),"",T88/(1+'General inputs'!$H$34)^C88)</f>
        <v>897503.40224595671</v>
      </c>
      <c r="V88" s="47"/>
      <c r="W88" s="31"/>
      <c r="X88" s="31"/>
    </row>
    <row r="89" spans="2:24" x14ac:dyDescent="0.25">
      <c r="B89" s="46"/>
      <c r="C89" s="26">
        <f>IF(D89='General inputs'!$I$16,0,IF(D89&lt;'General inputs'!$I$16,C90-1,C88+1))</f>
        <v>22</v>
      </c>
      <c r="D89" s="26" t="str">
        <f t="shared" si="1"/>
        <v>2044-45</v>
      </c>
      <c r="E89" s="76">
        <f>IF(LEFT(D89,4)*1&gt;LEFT('General inputs'!$I$16,4)+'General inputs'!$H$38-1,"",'ET inputs'!D61)</f>
        <v>562.01634184905561</v>
      </c>
      <c r="F89" s="76">
        <f>IF(LEFT(D89,4)*1&gt;LEFT('General inputs'!$I$16,4)+'General inputs'!$H$38-1,"",E89/(1+'General inputs'!$H$30)^C89)</f>
        <v>293.31211418448572</v>
      </c>
      <c r="G89" s="76">
        <f>IF(LEFT(D89,4)*1&gt;LEFT('General inputs'!$I$16,4)+'General inputs'!$H$38-1,"",E89/(1+'General inputs'!$H$32)^C89)</f>
        <v>227.33124302043555</v>
      </c>
      <c r="H89" s="76">
        <f>IF(LEFT(D89,4)*1&lt;LEFT('General inputs'!$I$16,4)*1,"",IF(LEFT(D89,4)*1&gt;LEFT('General inputs'!$I$16,4)+'General inputs'!$H$38-1,"",E89/(1+'General inputs'!$H$34)^C89))</f>
        <v>227.33124302043555</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8345106.3549820371</v>
      </c>
      <c r="R89" s="76">
        <f>IF(OR(LEFT(D89,4)*1&lt;LEFT('General inputs'!$I$16,4)*1,LEFT(D89,4)*1&gt;LEFT('General inputs'!$I$16,4)+'General inputs'!$H$38-1),"",Q89/(1+'General inputs'!$H$34)^C89)</f>
        <v>3375530.6733150473</v>
      </c>
      <c r="T89" s="81">
        <f>('Reduction amount'!J62)*SUM($E$67:E89)</f>
        <v>2233877.8859317871</v>
      </c>
      <c r="U89" s="76">
        <f>IF(OR(LEFT(D89,4)*1&lt;LEFT('General inputs'!$I$16,4)*1,LEFT(D89,4)*1&gt;LEFT('General inputs'!$I$16,4)+'General inputs'!$H$38-1),"",T89/(1+'General inputs'!$H$34)^C89)</f>
        <v>903586.24607596756</v>
      </c>
      <c r="V89" s="47"/>
      <c r="W89" s="31"/>
      <c r="X89" s="31"/>
    </row>
    <row r="90" spans="2:24" x14ac:dyDescent="0.25">
      <c r="B90" s="46"/>
      <c r="C90" s="26">
        <f>IF(D90='General inputs'!$I$16,0,IF(D90&lt;'General inputs'!$I$16,C91-1,C89+1))</f>
        <v>23</v>
      </c>
      <c r="D90" s="26" t="str">
        <f t="shared" si="1"/>
        <v>2045-46</v>
      </c>
      <c r="E90" s="76">
        <f>IF(LEFT(D90,4)*1&gt;LEFT('General inputs'!$I$16,4)+'General inputs'!$H$38-1,"",'ET inputs'!D62)</f>
        <v>565.80601804213075</v>
      </c>
      <c r="F90" s="76">
        <f>IF(LEFT(D90,4)*1&gt;LEFT('General inputs'!$I$16,4)+'General inputs'!$H$38-1,"",E90/(1+'General inputs'!$H$30)^C90)</f>
        <v>286.68924055381058</v>
      </c>
      <c r="G90" s="76">
        <f>IF(LEFT(D90,4)*1&gt;LEFT('General inputs'!$I$16,4)+'General inputs'!$H$38-1,"",E90/(1+'General inputs'!$H$32)^C90)</f>
        <v>219.63928751642715</v>
      </c>
      <c r="H90" s="76">
        <f>IF(LEFT(D90,4)*1&lt;LEFT('General inputs'!$I$16,4)*1,"",IF(LEFT(D90,4)*1&gt;LEFT('General inputs'!$I$16,4)+'General inputs'!$H$38-1,"",E90/(1+'General inputs'!$H$34)^C90))</f>
        <v>219.63928751642715</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8738019.0280910339</v>
      </c>
      <c r="R90" s="76">
        <f>IF(OR(LEFT(D90,4)*1&lt;LEFT('General inputs'!$I$16,4)*1,LEFT(D90,4)*1&gt;LEFT('General inputs'!$I$16,4)+'General inputs'!$H$38-1),"",Q90/(1+'General inputs'!$H$34)^C90)</f>
        <v>3391996.9255116521</v>
      </c>
      <c r="T90" s="81">
        <f>('Reduction amount'!J63)*SUM($E$67:E90)</f>
        <v>2339055.5666256389</v>
      </c>
      <c r="U90" s="76">
        <f>IF(OR(LEFT(D90,4)*1&lt;LEFT('General inputs'!$I$16,4)*1,LEFT(D90,4)*1&gt;LEFT('General inputs'!$I$16,4)+'General inputs'!$H$38-1),"",T90/(1+'General inputs'!$H$34)^C90)</f>
        <v>907994.05049229017</v>
      </c>
      <c r="V90" s="47"/>
      <c r="W90" s="31"/>
      <c r="X90" s="31"/>
    </row>
    <row r="91" spans="2:24" x14ac:dyDescent="0.25">
      <c r="B91" s="46"/>
      <c r="C91" s="26">
        <f>IF(D91='General inputs'!$I$16,0,IF(D91&lt;'General inputs'!$I$16,C92-1,C90+1))</f>
        <v>24</v>
      </c>
      <c r="D91" s="26" t="str">
        <f t="shared" si="1"/>
        <v>2046-47</v>
      </c>
      <c r="E91" s="76">
        <f>IF(LEFT(D91,4)*1&gt;LEFT('General inputs'!$I$16,4)+'General inputs'!$H$38-1,"",'ET inputs'!D63)</f>
        <v>569.6212480217946</v>
      </c>
      <c r="F91" s="76">
        <f>IF(LEFT(D91,4)*1&gt;LEFT('General inputs'!$I$16,4)+'General inputs'!$H$38-1,"",E91/(1+'General inputs'!$H$30)^C91)</f>
        <v>280.21590883773581</v>
      </c>
      <c r="G91" s="76">
        <f>IF(LEFT(D91,4)*1&gt;LEFT('General inputs'!$I$16,4)+'General inputs'!$H$38-1,"",E91/(1+'General inputs'!$H$32)^C91)</f>
        <v>212.20759619208508</v>
      </c>
      <c r="H91" s="76">
        <f>IF(LEFT(D91,4)*1&lt;LEFT('General inputs'!$I$16,4)*1,"",IF(LEFT(D91,4)*1&gt;LEFT('General inputs'!$I$16,4)+'General inputs'!$H$38-1,"",E91/(1+'General inputs'!$H$34)^C91))</f>
        <v>212.20759619208508</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9133581.1113548093</v>
      </c>
      <c r="R91" s="76">
        <f>IF(OR(LEFT(D91,4)*1&lt;LEFT('General inputs'!$I$16,4)*1,LEFT(D91,4)*1&gt;LEFT('General inputs'!$I$16,4)+'General inputs'!$H$38-1),"",Q91/(1+'General inputs'!$H$34)^C91)</f>
        <v>3402638.6813995354</v>
      </c>
      <c r="T91" s="81">
        <f>('Reduction amount'!J64)*SUM($E$67:E91)</f>
        <v>2444942.4604204101</v>
      </c>
      <c r="U91" s="76">
        <f>IF(OR(LEFT(D91,4)*1&lt;LEFT('General inputs'!$I$16,4)*1,LEFT(D91,4)*1&gt;LEFT('General inputs'!$I$16,4)+'General inputs'!$H$38-1),"",T91/(1+'General inputs'!$H$34)^C91)</f>
        <v>910842.7119873272</v>
      </c>
      <c r="V91" s="47"/>
      <c r="W91" s="31"/>
      <c r="X91" s="31"/>
    </row>
    <row r="92" spans="2:24" x14ac:dyDescent="0.25">
      <c r="B92" s="46"/>
      <c r="C92" s="26">
        <f>IF(D92='General inputs'!$I$16,0,IF(D92&lt;'General inputs'!$I$16,C93-1,C91+1))</f>
        <v>25</v>
      </c>
      <c r="D92" s="26" t="str">
        <f t="shared" si="1"/>
        <v>2047-48</v>
      </c>
      <c r="E92" s="76">
        <f>IF(LEFT(D92,4)*1&gt;LEFT('General inputs'!$I$16,4)+'General inputs'!$H$38-1,"",'ET inputs'!D64)</f>
        <v>573.46220409720263</v>
      </c>
      <c r="F92" s="76">
        <f>IF(LEFT(D92,4)*1&gt;LEFT('General inputs'!$I$16,4)+'General inputs'!$H$38-1,"",E92/(1+'General inputs'!$H$30)^C92)</f>
        <v>273.88874243789053</v>
      </c>
      <c r="G92" s="76">
        <f>IF(LEFT(D92,4)*1&gt;LEFT('General inputs'!$I$16,4)+'General inputs'!$H$38-1,"",E92/(1+'General inputs'!$H$32)^C92)</f>
        <v>205.02736277659042</v>
      </c>
      <c r="H92" s="76">
        <f>IF(LEFT(D92,4)*1&lt;LEFT('General inputs'!$I$16,4)*1,"",IF(LEFT(D92,4)*1&gt;LEFT('General inputs'!$I$16,4)+'General inputs'!$H$38-1,"",E92/(1+'General inputs'!$H$34)^C92))</f>
        <v>205.02736277659042</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9531810.469746029</v>
      </c>
      <c r="R92" s="76">
        <f>IF(OR(LEFT(D92,4)*1&lt;LEFT('General inputs'!$I$16,4)*1,LEFT(D92,4)*1&gt;LEFT('General inputs'!$I$16,4)+'General inputs'!$H$38-1),"",Q92/(1+'General inputs'!$H$34)^C92)</f>
        <v>3407865.3294595652</v>
      </c>
      <c r="T92" s="81">
        <f>('Reduction amount'!J65)*SUM($E$67:E92)</f>
        <v>2551543.349540039</v>
      </c>
      <c r="U92" s="76">
        <f>IF(OR(LEFT(D92,4)*1&lt;LEFT('General inputs'!$I$16,4)*1,LEFT(D92,4)*1&gt;LEFT('General inputs'!$I$16,4)+'General inputs'!$H$38-1),"",T92/(1+'General inputs'!$H$34)^C92)</f>
        <v>912241.81860409037</v>
      </c>
      <c r="V92" s="47"/>
      <c r="W92" s="31"/>
      <c r="X92" s="31"/>
    </row>
    <row r="93" spans="2:24" x14ac:dyDescent="0.25">
      <c r="B93" s="46"/>
      <c r="C93" s="26">
        <f>IF(D93='General inputs'!$I$16,0,IF(D93&lt;'General inputs'!$I$16,C94-1,C92+1))</f>
        <v>26</v>
      </c>
      <c r="D93" s="26" t="str">
        <f t="shared" si="1"/>
        <v>2048-49</v>
      </c>
      <c r="E93" s="76">
        <f>IF(LEFT(D93,4)*1&gt;LEFT('General inputs'!$I$16,4)+'General inputs'!$H$38-1,"",'ET inputs'!D65)</f>
        <v>577.32905973943707</v>
      </c>
      <c r="F93" s="76">
        <f>IF(LEFT(D93,4)*1&gt;LEFT('General inputs'!$I$16,4)+'General inputs'!$H$38-1,"",E93/(1+'General inputs'!$H$30)^C93)</f>
        <v>267.70444099820634</v>
      </c>
      <c r="G93" s="76">
        <f>IF(LEFT(D93,4)*1&gt;LEFT('General inputs'!$I$16,4)+'General inputs'!$H$38-1,"",E93/(1+'General inputs'!$H$32)^C93)</f>
        <v>198.09007896717412</v>
      </c>
      <c r="H93" s="76">
        <f>IF(LEFT(D93,4)*1&lt;LEFT('General inputs'!$I$16,4)*1,"",IF(LEFT(D93,4)*1&gt;LEFT('General inputs'!$I$16,4)+'General inputs'!$H$38-1,"",E93/(1+'General inputs'!$H$34)^C93))</f>
        <v>198.09007896717412</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9932725.0887008868</v>
      </c>
      <c r="R93" s="76">
        <f>IF(OR(LEFT(D93,4)*1&lt;LEFT('General inputs'!$I$16,4)*1,LEFT(D93,4)*1&gt;LEFT('General inputs'!$I$16,4)+'General inputs'!$H$38-1),"",Q93/(1+'General inputs'!$H$34)^C93)</f>
        <v>3408063.8484887723</v>
      </c>
      <c r="T93" s="81">
        <f>('Reduction amount'!J66)*SUM($E$67:E93)</f>
        <v>2658863.0484550032</v>
      </c>
      <c r="U93" s="76">
        <f>IF(OR(LEFT(D93,4)*1&lt;LEFT('General inputs'!$I$16,4)*1,LEFT(D93,4)*1&gt;LEFT('General inputs'!$I$16,4)+'General inputs'!$H$38-1),"",T93/(1+'General inputs'!$H$34)^C93)</f>
        <v>912294.95960079192</v>
      </c>
      <c r="V93" s="47"/>
      <c r="W93" s="31"/>
      <c r="X93" s="31"/>
    </row>
    <row r="94" spans="2:24" x14ac:dyDescent="0.25">
      <c r="B94" s="46"/>
      <c r="C94" s="26">
        <f>IF(D94='General inputs'!$I$16,0,IF(D94&lt;'General inputs'!$I$16,C95-1,C93+1))</f>
        <v>27</v>
      </c>
      <c r="D94" s="26" t="str">
        <f t="shared" si="1"/>
        <v>2049-50</v>
      </c>
      <c r="E94" s="76">
        <f>IF(LEFT(D94,4)*1&gt;LEFT('General inputs'!$I$16,4)+'General inputs'!$H$38-1,"",'ET inputs'!D66)</f>
        <v>581.2219895892631</v>
      </c>
      <c r="F94" s="76">
        <f>IF(LEFT(D94,4)*1&gt;LEFT('General inputs'!$I$16,4)+'General inputs'!$H$38-1,"",E94/(1+'General inputs'!$H$30)^C94)</f>
        <v>261.6597786833579</v>
      </c>
      <c r="G94" s="76">
        <f>IF(LEFT(D94,4)*1&gt;LEFT('General inputs'!$I$16,4)+'General inputs'!$H$38-1,"",E94/(1+'General inputs'!$H$32)^C94)</f>
        <v>191.38752434707368</v>
      </c>
      <c r="H94" s="76">
        <f>IF(LEFT(D94,4)*1&lt;LEFT('General inputs'!$I$16,4)*1,"",IF(LEFT(D94,4)*1&gt;LEFT('General inputs'!$I$16,4)+'General inputs'!$H$38-1,"",E94/(1+'General inputs'!$H$34)^C94))</f>
        <v>191.38752434707368</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10336343.074931359</v>
      </c>
      <c r="R94" s="76">
        <f>IF(OR(LEFT(D94,4)*1&lt;LEFT('General inputs'!$I$16,4)*1,LEFT(D94,4)*1&gt;LEFT('General inputs'!$I$16,4)+'General inputs'!$H$38-1),"",Q94/(1+'General inputs'!$H$34)^C94)</f>
        <v>3403599.9107864383</v>
      </c>
      <c r="T94" s="81">
        <f>('Reduction amount'!J67)*SUM($E$67:E94)</f>
        <v>2766906.4040997513</v>
      </c>
      <c r="U94" s="76">
        <f>IF(OR(LEFT(D94,4)*1&lt;LEFT('General inputs'!$I$16,4)*1,LEFT(D94,4)*1&gt;LEFT('General inputs'!$I$16,4)+'General inputs'!$H$38-1),"",T94/(1+'General inputs'!$H$34)^C94)</f>
        <v>911100.02075960278</v>
      </c>
      <c r="V94" s="47"/>
      <c r="W94" s="31"/>
      <c r="X94" s="31"/>
    </row>
    <row r="95" spans="2:24" x14ac:dyDescent="0.25">
      <c r="B95" s="46"/>
      <c r="C95" s="26">
        <f>IF(D95='General inputs'!$I$16,0,IF(D95&lt;'General inputs'!$I$16,C96-1,C94+1))</f>
        <v>28</v>
      </c>
      <c r="D95" s="26" t="str">
        <f t="shared" si="1"/>
        <v>2050-51</v>
      </c>
      <c r="E95" s="76">
        <f>IF(LEFT(D95,4)*1&gt;LEFT('General inputs'!$I$16,4)+'General inputs'!$H$38-1,"",'ET inputs'!D67)</f>
        <v>585.1411694650451</v>
      </c>
      <c r="F95" s="76">
        <f>IF(LEFT(D95,4)*1&gt;LEFT('General inputs'!$I$16,4)+'General inputs'!$H$38-1,"",E95/(1+'General inputs'!$H$30)^C95)</f>
        <v>255.7516024961277</v>
      </c>
      <c r="G95" s="76">
        <f>IF(LEFT(D95,4)*1&gt;LEFT('General inputs'!$I$16,4)+'General inputs'!$H$38-1,"",E95/(1+'General inputs'!$H$32)^C95)</f>
        <v>184.91175664466402</v>
      </c>
      <c r="H95" s="76">
        <f>IF(LEFT(D95,4)*1&lt;LEFT('General inputs'!$I$16,4)*1,"",IF(LEFT(D95,4)*1&gt;LEFT('General inputs'!$I$16,4)+'General inputs'!$H$38-1,"",E95/(1+'General inputs'!$H$34)^C95))</f>
        <v>184.91175664466402</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10742682.657242969</v>
      </c>
      <c r="R95" s="76">
        <f>IF(OR(LEFT(D95,4)*1&lt;LEFT('General inputs'!$I$16,4)*1,LEFT(D95,4)*1&gt;LEFT('General inputs'!$I$16,4)+'General inputs'!$H$38-1),"",Q95/(1+'General inputs'!$H$34)^C95)</f>
        <v>3394818.9341095919</v>
      </c>
      <c r="T95" s="81">
        <f>('Reduction amount'!J68)*SUM($E$67:E95)</f>
        <v>2875678.2960916082</v>
      </c>
      <c r="U95" s="76">
        <f>IF(OR(LEFT(D95,4)*1&lt;LEFT('General inputs'!$I$16,4)*1,LEFT(D95,4)*1&gt;LEFT('General inputs'!$I$16,4)+'General inputs'!$H$38-1),"",T95/(1+'General inputs'!$H$34)^C95)</f>
        <v>908749.4659816426</v>
      </c>
      <c r="V95" s="47"/>
      <c r="W95" s="31"/>
      <c r="X95" s="31"/>
    </row>
    <row r="96" spans="2:24" x14ac:dyDescent="0.25">
      <c r="B96" s="46"/>
      <c r="C96" s="26">
        <f>IF(D96='General inputs'!$I$16,0,IF(D96&lt;'General inputs'!$I$16,C97-1,C95+1))</f>
        <v>29</v>
      </c>
      <c r="D96" s="26" t="str">
        <f t="shared" si="1"/>
        <v>2051-52</v>
      </c>
      <c r="E96" s="76">
        <f>IF(LEFT(D96,4)*1&gt;LEFT('General inputs'!$I$16,4)+'General inputs'!$H$38-1,"",'ET inputs'!D68)</f>
        <v>589.08677637076471</v>
      </c>
      <c r="F96" s="76">
        <f>IF(LEFT(D96,4)*1&gt;LEFT('General inputs'!$I$16,4)+'General inputs'!$H$38-1,"",E96/(1+'General inputs'!$H$30)^C96)</f>
        <v>249.97683063278296</v>
      </c>
      <c r="G96" s="76">
        <f>IF(LEFT(D96,4)*1&gt;LEFT('General inputs'!$I$16,4)+'General inputs'!$H$38-1,"",E96/(1+'General inputs'!$H$32)^C96)</f>
        <v>178.65510232219222</v>
      </c>
      <c r="H96" s="76">
        <f>IF(LEFT(D96,4)*1&lt;LEFT('General inputs'!$I$16,4)*1,"",IF(LEFT(D96,4)*1&gt;LEFT('General inputs'!$I$16,4)+'General inputs'!$H$38-1,"",E96/(1+'General inputs'!$H$34)^C96))</f>
        <v>178.65510232219222</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11151762.18735812</v>
      </c>
      <c r="R96" s="76">
        <f>IF(OR(LEFT(D96,4)*1&lt;LEFT('General inputs'!$I$16,4)*1,LEFT(D96,4)*1&gt;LEFT('General inputs'!$I$16,4)+'General inputs'!$H$38-1),"",Q96/(1+'General inputs'!$H$34)^C96)</f>
        <v>3382047.0846917732</v>
      </c>
      <c r="T96" s="81">
        <f>('Reduction amount'!J69)*SUM($E$67:E96)</f>
        <v>2985183.6369511699</v>
      </c>
      <c r="U96" s="76">
        <f>IF(OR(LEFT(D96,4)*1&lt;LEFT('General inputs'!$I$16,4)*1,LEFT(D96,4)*1&gt;LEFT('General inputs'!$I$16,4)+'General inputs'!$H$38-1),"",T96/(1+'General inputs'!$H$34)^C96)</f>
        <v>905330.60578222957</v>
      </c>
      <c r="V96" s="47"/>
      <c r="W96" s="31"/>
      <c r="X96" s="31"/>
    </row>
    <row r="97" spans="2:22" x14ac:dyDescent="0.25">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5">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5">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5">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5">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5">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5">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5">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5">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5">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5">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5">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5">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5">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5">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5">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5">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5">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5">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5">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5">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5">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5">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5">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5">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5">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5">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5">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5">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5">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5">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5">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5">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5">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5">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4" priority="7" operator="containsText" text="data">
      <formula>NOT(ISERROR(SEARCH("data",Q37)))</formula>
    </cfRule>
  </conditionalFormatting>
  <conditionalFormatting sqref="T37">
    <cfRule type="containsText" dxfId="13" priority="5"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9"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3"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2"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50"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2" id="{79433BBD-1000-473B-8C72-2708DC7F4A45}">
            <xm:f>OR(LEFT($D67,4)*1&lt;LEFT('General inputs'!$I$16,4)*1,LEFT($D67,4)*1&gt;LEFT('General inputs'!$I$16,4)*1+'General inputs'!$I$16-1)</xm:f>
            <x14:dxf>
              <fill>
                <patternFill>
                  <bgColor rgb="FFDDDDDD"/>
                </patternFill>
              </fill>
            </x14:dxf>
          </x14:cfRule>
          <xm:sqref>Q67:Q96</xm:sqref>
        </x14:conditionalFormatting>
        <x14:conditionalFormatting xmlns:xm="http://schemas.microsoft.com/office/excel/2006/main">
          <x14:cfRule type="expression" priority="51" id="{4007EED2-5127-4B0E-9224-74B73C828219}">
            <xm:f>OR(LEFT($D40,4)*1&lt;LEFT('General inputs'!$I$16,4)*1,LEFT($D40,4)*1&gt;LEFT('General inputs'!$I$16,4)*1+'General inputs'!$H$38-1)</xm:f>
            <x14:dxf>
              <fill>
                <patternFill>
                  <bgColor rgb="FFDDDDDD"/>
                </patternFill>
              </fill>
            </x14:dxf>
          </x14:cfRule>
          <xm:sqref>Q40:R66 T40:U66 R67:R96 U67:U96 Q97:R130 T97:U130</xm:sqref>
        </x14:conditionalFormatting>
        <x14:conditionalFormatting xmlns:xm="http://schemas.microsoft.com/office/excel/2006/main">
          <x14:cfRule type="expression" priority="1" id="{4373394E-A125-4F68-AEC7-F0982DF123FB}">
            <xm:f>OR(LEFT($D67,4)*1&lt;LEFT('General inputs'!$I$16,4)*1,LEFT($D67,4)*1&gt;LEFT('General inputs'!$I$16,4)*1+'General inputs'!$I$16-1)</xm:f>
            <x14:dxf>
              <fill>
                <patternFill>
                  <bgColor rgb="FFDDDDDD"/>
                </patternFill>
              </fill>
            </x14:dxf>
          </x14:cfRule>
          <xm:sqref>T67:T96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N2" sqref="N2"/>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0" t="s">
        <v>57</v>
      </c>
    </row>
    <row r="5" spans="3:13" ht="15.5" x14ac:dyDescent="0.35">
      <c r="C5" s="2" t="s">
        <v>124</v>
      </c>
      <c r="H5" s="246" t="s">
        <v>128</v>
      </c>
      <c r="I5" s="247"/>
      <c r="L5" s="6" t="str">
        <f>"Do not delete - data validation for option at "&amp;ADDRESS(ROW(H5),COLUMN(H5))</f>
        <v>Do not delete - data validation for option at $H$5</v>
      </c>
    </row>
    <row r="6" spans="3:13" x14ac:dyDescent="0.25">
      <c r="L6" t="s">
        <v>125</v>
      </c>
      <c r="M6" t="s">
        <v>126</v>
      </c>
    </row>
    <row r="7" spans="3:13" ht="15.5" x14ac:dyDescent="0.35">
      <c r="C7" s="2" t="s">
        <v>75</v>
      </c>
      <c r="H7" s="248" t="s">
        <v>279</v>
      </c>
      <c r="I7" s="247"/>
      <c r="L7" s="36" t="s">
        <v>127</v>
      </c>
      <c r="M7" s="109">
        <v>0</v>
      </c>
    </row>
    <row r="8" spans="3:13" x14ac:dyDescent="0.25">
      <c r="L8" s="37" t="s">
        <v>128</v>
      </c>
      <c r="M8" s="110">
        <v>0.03</v>
      </c>
    </row>
    <row r="9" spans="3:13" ht="15.5" x14ac:dyDescent="0.35">
      <c r="C9" s="2" t="s">
        <v>138</v>
      </c>
      <c r="H9" s="248" t="s">
        <v>280</v>
      </c>
      <c r="I9" s="247"/>
      <c r="L9" s="38" t="s">
        <v>129</v>
      </c>
      <c r="M9" s="111">
        <v>0.03</v>
      </c>
    </row>
    <row r="11" spans="3:13" ht="15.5" x14ac:dyDescent="0.35">
      <c r="C11" s="2" t="s">
        <v>137</v>
      </c>
      <c r="H11" s="248" t="s">
        <v>140</v>
      </c>
      <c r="I11" s="247"/>
    </row>
    <row r="12" spans="3:13" x14ac:dyDescent="0.25">
      <c r="L12" s="6" t="str">
        <f>"Do not delete - data validation for options at "&amp;ADDRESS(ROW(H11),COLUMN(H11))</f>
        <v>Do not delete - data validation for options at $H$11</v>
      </c>
    </row>
    <row r="13" spans="3:13" x14ac:dyDescent="0.25">
      <c r="L13" s="36" t="s">
        <v>139</v>
      </c>
    </row>
    <row r="14" spans="3:13" ht="15.5" x14ac:dyDescent="0.35">
      <c r="C14" s="2" t="s">
        <v>86</v>
      </c>
      <c r="I14" s="88" t="s">
        <v>40</v>
      </c>
      <c r="L14" s="37" t="s">
        <v>140</v>
      </c>
    </row>
    <row r="15" spans="3:13" x14ac:dyDescent="0.25">
      <c r="L15" s="38" t="s">
        <v>141</v>
      </c>
    </row>
    <row r="16" spans="3:13" x14ac:dyDescent="0.25">
      <c r="D16" s="6" t="s">
        <v>219</v>
      </c>
      <c r="I16" s="42" t="s">
        <v>44</v>
      </c>
    </row>
    <row r="17" spans="3:12" x14ac:dyDescent="0.25">
      <c r="D17" s="6"/>
    </row>
    <row r="18" spans="3:12" x14ac:dyDescent="0.25">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5">
      <c r="L19" s="139" t="s">
        <v>15</v>
      </c>
    </row>
    <row r="20" spans="3:12" x14ac:dyDescent="0.25">
      <c r="L20" s="37" t="s">
        <v>99</v>
      </c>
    </row>
    <row r="21" spans="3:12" x14ac:dyDescent="0.25">
      <c r="D21" s="6" t="s">
        <v>39</v>
      </c>
      <c r="L21" s="37" t="s">
        <v>42</v>
      </c>
    </row>
    <row r="22" spans="3:12" x14ac:dyDescent="0.25">
      <c r="L22" s="37" t="s">
        <v>43</v>
      </c>
    </row>
    <row r="23" spans="3:12" x14ac:dyDescent="0.25">
      <c r="D23" s="57" t="s">
        <v>55</v>
      </c>
      <c r="H23" s="58">
        <v>25569</v>
      </c>
      <c r="L23" s="37" t="s">
        <v>44</v>
      </c>
    </row>
    <row r="24" spans="3:12" x14ac:dyDescent="0.25">
      <c r="D24" s="57" t="s">
        <v>56</v>
      </c>
      <c r="H24" s="58">
        <v>35064</v>
      </c>
      <c r="L24" s="37" t="s">
        <v>45</v>
      </c>
    </row>
    <row r="25" spans="3:12" x14ac:dyDescent="0.25">
      <c r="L25" s="37" t="s">
        <v>46</v>
      </c>
    </row>
    <row r="26" spans="3:12" x14ac:dyDescent="0.25">
      <c r="L26" s="37" t="s">
        <v>47</v>
      </c>
    </row>
    <row r="27" spans="3:12" x14ac:dyDescent="0.25">
      <c r="L27" s="37" t="s">
        <v>48</v>
      </c>
    </row>
    <row r="28" spans="3:12" ht="15.5" x14ac:dyDescent="0.35">
      <c r="C28" s="2" t="s">
        <v>85</v>
      </c>
      <c r="L28" s="37" t="s">
        <v>49</v>
      </c>
    </row>
    <row r="29" spans="3:12" x14ac:dyDescent="0.25">
      <c r="L29" s="37" t="s">
        <v>50</v>
      </c>
    </row>
    <row r="30" spans="3:12" x14ac:dyDescent="0.25">
      <c r="D30" s="6" t="s">
        <v>111</v>
      </c>
      <c r="H30" s="60">
        <f>INDEX($M$7:$M$12,MATCH($H$5,$L$7:$L$12))</f>
        <v>0.03</v>
      </c>
      <c r="L30" s="37" t="s">
        <v>51</v>
      </c>
    </row>
    <row r="31" spans="3:12" ht="12" customHeight="1" x14ac:dyDescent="0.35">
      <c r="C31" s="2"/>
      <c r="D31" s="6"/>
      <c r="H31" s="29"/>
      <c r="L31" s="38" t="s">
        <v>52</v>
      </c>
    </row>
    <row r="32" spans="3:12" ht="12" customHeight="1" x14ac:dyDescent="0.35">
      <c r="C32" s="2"/>
      <c r="D32" s="5" t="s">
        <v>112</v>
      </c>
      <c r="H32" s="141">
        <v>4.2000000000000003E-2</v>
      </c>
    </row>
    <row r="33" spans="3:12" ht="12" customHeight="1" x14ac:dyDescent="0.25">
      <c r="D33" s="6"/>
      <c r="H33" s="29"/>
    </row>
    <row r="34" spans="3:12" ht="12" customHeight="1" x14ac:dyDescent="0.25">
      <c r="D34" s="5" t="s">
        <v>92</v>
      </c>
      <c r="H34" s="141">
        <v>4.2000000000000003E-2</v>
      </c>
    </row>
    <row r="35" spans="3:12" ht="12" customHeight="1" x14ac:dyDescent="0.35">
      <c r="C35" s="2"/>
    </row>
    <row r="36" spans="3:12" ht="12" customHeight="1" x14ac:dyDescent="0.35">
      <c r="C36" s="2"/>
      <c r="D36" s="6" t="s">
        <v>113</v>
      </c>
      <c r="H36" s="55">
        <v>181</v>
      </c>
      <c r="L36" s="6" t="str">
        <f>"Do not delete - data validation for option at "&amp;ADDRESS(ROW(H42),COLUMN(H42))</f>
        <v>Do not delete - data validation for option at $H$42</v>
      </c>
    </row>
    <row r="37" spans="3:12" ht="12" customHeight="1" x14ac:dyDescent="0.35">
      <c r="C37" s="2"/>
      <c r="L37" s="36" t="s">
        <v>27</v>
      </c>
    </row>
    <row r="38" spans="3:12" ht="12" customHeight="1" x14ac:dyDescent="0.35">
      <c r="C38" s="2"/>
      <c r="D38" s="6" t="s">
        <v>23</v>
      </c>
      <c r="H38" s="61">
        <v>30</v>
      </c>
      <c r="L38" s="37" t="s">
        <v>28</v>
      </c>
    </row>
    <row r="39" spans="3:12" ht="12" customHeight="1" x14ac:dyDescent="0.35">
      <c r="C39" s="2"/>
      <c r="L39" s="38" t="s">
        <v>29</v>
      </c>
    </row>
    <row r="40" spans="3:12" ht="12" customHeight="1" x14ac:dyDescent="0.25">
      <c r="D40" s="6" t="s">
        <v>41</v>
      </c>
      <c r="I40" s="42" t="s">
        <v>42</v>
      </c>
    </row>
    <row r="42" spans="3:12" x14ac:dyDescent="0.25">
      <c r="D42" s="6" t="s">
        <v>26</v>
      </c>
      <c r="H42" s="140" t="s">
        <v>27</v>
      </c>
    </row>
    <row r="43" spans="3:12" x14ac:dyDescent="0.25">
      <c r="D43" s="6"/>
    </row>
    <row r="47" spans="3:12" ht="15.5" x14ac:dyDescent="0.35">
      <c r="C47" s="2"/>
    </row>
    <row r="49" spans="6:6" x14ac:dyDescent="0.25">
      <c r="F49" s="27"/>
    </row>
    <row r="50" spans="6:6" x14ac:dyDescent="0.25">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N22" sqref="N22"/>
    </sheetView>
  </sheetViews>
  <sheetFormatPr defaultColWidth="28" defaultRowHeight="11.5" x14ac:dyDescent="0.2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x14ac:dyDescent="0.25">
      <c r="E1" s="27"/>
    </row>
    <row r="2" spans="3:9" x14ac:dyDescent="0.25">
      <c r="E2" s="27"/>
    </row>
    <row r="3" spans="3:9" ht="20" x14ac:dyDescent="0.4">
      <c r="C3" s="50" t="s">
        <v>201</v>
      </c>
    </row>
    <row r="6" spans="3:9"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5">
      <c r="C7" s="104" t="str">
        <f ca="1">"Hyperlink to the '"&amp;MID(CELL("filename",'Asset exclusions'!A1),FIND("]",CELL("filename",'Asset exclusions'!A1))+1,255)&amp;"' worksheet:"</f>
        <v>Hyperlink to the 'Asset exclusions' worksheet:</v>
      </c>
      <c r="E7" s="134" t="s">
        <v>187</v>
      </c>
      <c r="I7" s="180"/>
    </row>
    <row r="8" spans="3:9" x14ac:dyDescent="0.25">
      <c r="C8" s="104"/>
      <c r="E8" s="134"/>
      <c r="I8" s="180"/>
    </row>
    <row r="9" spans="3:9" x14ac:dyDescent="0.25">
      <c r="C9" s="104" t="s">
        <v>242</v>
      </c>
      <c r="E9" s="134"/>
      <c r="I9" s="180"/>
    </row>
    <row r="10" spans="3:9" x14ac:dyDescent="0.25">
      <c r="C10" s="104" t="s">
        <v>245</v>
      </c>
      <c r="E10" s="134"/>
      <c r="I10" s="180"/>
    </row>
    <row r="11" spans="3:9" x14ac:dyDescent="0.25">
      <c r="C11" s="104" t="s">
        <v>244</v>
      </c>
      <c r="E11" s="134"/>
      <c r="I11" s="180"/>
    </row>
    <row r="12" spans="3:9" x14ac:dyDescent="0.25">
      <c r="C12" s="104" t="s">
        <v>243</v>
      </c>
      <c r="E12" s="134"/>
      <c r="I12" s="180"/>
    </row>
    <row r="13" spans="3:9" x14ac:dyDescent="0.25">
      <c r="H13" s="27"/>
      <c r="I13" s="180"/>
    </row>
    <row r="14" spans="3:9" x14ac:dyDescent="0.25">
      <c r="C14" s="6" t="s">
        <v>54</v>
      </c>
      <c r="H14" s="27"/>
      <c r="I14" s="180"/>
    </row>
    <row r="15" spans="3:9" x14ac:dyDescent="0.25">
      <c r="C15" s="57" t="s">
        <v>58</v>
      </c>
      <c r="E15" s="82">
        <f>'General inputs'!$H$23</f>
        <v>25569</v>
      </c>
      <c r="H15" s="27"/>
      <c r="I15" s="180"/>
    </row>
    <row r="16" spans="3:9" x14ac:dyDescent="0.25">
      <c r="C16" s="57" t="s">
        <v>59</v>
      </c>
      <c r="E16" s="83">
        <f>'General inputs'!$H$24</f>
        <v>35064</v>
      </c>
      <c r="H16" s="27"/>
      <c r="I16" s="180"/>
    </row>
    <row r="17" spans="3:18" x14ac:dyDescent="0.25">
      <c r="I17" s="180"/>
      <c r="J17" s="224"/>
    </row>
    <row r="18" spans="3:18" ht="15.5" x14ac:dyDescent="0.35">
      <c r="C18" s="2" t="s">
        <v>207</v>
      </c>
      <c r="I18" s="180"/>
    </row>
    <row r="19" spans="3:18" x14ac:dyDescent="0.25">
      <c r="I19" s="180"/>
    </row>
    <row r="20" spans="3:18" x14ac:dyDescent="0.25">
      <c r="C20" s="6" t="s">
        <v>16</v>
      </c>
      <c r="H20" s="6" t="s">
        <v>17</v>
      </c>
      <c r="I20" s="181"/>
      <c r="L20" s="6" t="s">
        <v>18</v>
      </c>
      <c r="Q20" s="214" t="s">
        <v>276</v>
      </c>
    </row>
    <row r="21" spans="3:18" ht="46" x14ac:dyDescent="0.25">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281</v>
      </c>
      <c r="E22" s="162">
        <v>25569</v>
      </c>
      <c r="F22" s="163" t="str">
        <f>IF(E22="","-",IF(OR(E22&lt;$E$15,E22&gt;$E$16),"ERROR - date outside of range","Date check - OK"))</f>
        <v>Date check - OK</v>
      </c>
      <c r="G22" s="68"/>
      <c r="H22" s="162" t="s">
        <v>279</v>
      </c>
      <c r="I22" s="173">
        <v>89592.114709699614</v>
      </c>
      <c r="J22" s="168">
        <f>IFERROR(MIN('MP Calculations'!$E$30/I22,1),"-")</f>
        <v>0.31014580161562261</v>
      </c>
      <c r="K22" s="68"/>
      <c r="L22" s="158">
        <v>3.5858629999999998</v>
      </c>
      <c r="M22" s="183" t="s">
        <v>408</v>
      </c>
      <c r="N22" s="183">
        <v>657.22938499999998</v>
      </c>
      <c r="O22" s="186">
        <f>IF(N22="","-",L22*N22)</f>
        <v>2356.7345341842547</v>
      </c>
      <c r="P22" s="186">
        <f t="shared" ref="P22" si="0">IF(O22="-","-",IF(OR(E22&lt;$E$15,E22&gt;$E$16),0,O22*J22))</f>
        <v>730.93132129979665</v>
      </c>
      <c r="Q22" s="215">
        <f>IF(P22="-",0,P22/(1+'General inputs'!$H$30)^'MP Calculations'!$C$40)</f>
        <v>1623.6097078301052</v>
      </c>
      <c r="R22" s="201"/>
    </row>
    <row r="23" spans="3:18" x14ac:dyDescent="0.25">
      <c r="C23" s="159"/>
      <c r="D23" s="165" t="s">
        <v>282</v>
      </c>
      <c r="E23" s="162">
        <v>25569</v>
      </c>
      <c r="F23" s="166" t="str">
        <f t="shared" ref="F23:F86" si="1">IF(E23="","-",IF(OR(E23&lt;$E$15,E23&gt;$E$16),"ERROR - date outside of range","Date check - OK"))</f>
        <v>Date check - OK</v>
      </c>
      <c r="G23" s="68"/>
      <c r="H23" s="162" t="s">
        <v>279</v>
      </c>
      <c r="I23" s="173">
        <v>89592.114709699614</v>
      </c>
      <c r="J23" s="168">
        <f>IFERROR(MIN('MP Calculations'!$E$30/I23,1),"-")</f>
        <v>0.31014580161562261</v>
      </c>
      <c r="K23" s="68"/>
      <c r="L23" s="159">
        <v>50.889620000000001</v>
      </c>
      <c r="M23" s="184" t="s">
        <v>408</v>
      </c>
      <c r="N23" s="184">
        <v>1009.889055</v>
      </c>
      <c r="O23" s="186">
        <f t="shared" ref="O23:O86" si="2">IF(N23="","-",L23*N23)</f>
        <v>51392.870251109103</v>
      </c>
      <c r="P23" s="186">
        <f t="shared" ref="P23:P86" si="3">IF(O23="-","-",IF(OR(E23&lt;$E$15,E23&gt;$E$16),0,O23*J23))</f>
        <v>15939.282941357917</v>
      </c>
      <c r="Q23" s="215">
        <f>IF(P23="-",0,P23/(1+'General inputs'!$H$30)^'MP Calculations'!$C$40)</f>
        <v>35405.753954310268</v>
      </c>
      <c r="R23" s="201"/>
    </row>
    <row r="24" spans="3:18" x14ac:dyDescent="0.25">
      <c r="C24" s="159"/>
      <c r="D24" s="165" t="s">
        <v>282</v>
      </c>
      <c r="E24" s="162">
        <v>25569</v>
      </c>
      <c r="F24" s="166" t="str">
        <f t="shared" si="1"/>
        <v>Date check - OK</v>
      </c>
      <c r="G24" s="68"/>
      <c r="H24" s="162" t="s">
        <v>279</v>
      </c>
      <c r="I24" s="173">
        <v>89592.114709699614</v>
      </c>
      <c r="J24" s="168">
        <f>IFERROR(MIN('MP Calculations'!$E$30/I24,1),"-")</f>
        <v>0.31014580161562261</v>
      </c>
      <c r="K24" s="12"/>
      <c r="L24" s="159">
        <v>71.761133000000001</v>
      </c>
      <c r="M24" s="187" t="s">
        <v>408</v>
      </c>
      <c r="N24" s="187">
        <v>1009.889055</v>
      </c>
      <c r="O24" s="186">
        <f t="shared" si="2"/>
        <v>72470.782791099322</v>
      </c>
      <c r="P24" s="186">
        <f t="shared" si="3"/>
        <v>22476.509022457169</v>
      </c>
      <c r="Q24" s="215">
        <f>IF(P24="-",0,P24/(1+'General inputs'!$H$30)^'MP Calculations'!$C$40)</f>
        <v>49926.822375182513</v>
      </c>
      <c r="R24" s="201"/>
    </row>
    <row r="25" spans="3:18" x14ac:dyDescent="0.25">
      <c r="C25" s="159"/>
      <c r="D25" s="165" t="s">
        <v>282</v>
      </c>
      <c r="E25" s="162">
        <v>25569</v>
      </c>
      <c r="F25" s="166" t="str">
        <f t="shared" si="1"/>
        <v>Date check - OK</v>
      </c>
      <c r="G25" s="68"/>
      <c r="H25" s="162" t="s">
        <v>279</v>
      </c>
      <c r="I25" s="173">
        <v>89592.114709699614</v>
      </c>
      <c r="J25" s="168">
        <f>IFERROR(MIN('MP Calculations'!$E$30/I25,1),"-")</f>
        <v>0.31014580161562261</v>
      </c>
      <c r="K25" s="12"/>
      <c r="L25" s="159">
        <v>13.248533999999999</v>
      </c>
      <c r="M25" s="187" t="s">
        <v>408</v>
      </c>
      <c r="N25" s="187">
        <v>1009.889055</v>
      </c>
      <c r="O25" s="186">
        <f t="shared" si="2"/>
        <v>13379.549481395368</v>
      </c>
      <c r="P25" s="186">
        <f t="shared" si="3"/>
        <v>4149.611099163254</v>
      </c>
      <c r="Q25" s="215">
        <f>IF(P25="-",0,P25/(1+'General inputs'!$H$30)^'MP Calculations'!$C$40)</f>
        <v>9217.4855119632248</v>
      </c>
      <c r="R25" s="201"/>
    </row>
    <row r="26" spans="3:18" x14ac:dyDescent="0.25">
      <c r="C26" s="159"/>
      <c r="D26" s="165" t="s">
        <v>282</v>
      </c>
      <c r="E26" s="162">
        <v>25569</v>
      </c>
      <c r="F26" s="166" t="str">
        <f t="shared" si="1"/>
        <v>Date check - OK</v>
      </c>
      <c r="G26" s="68"/>
      <c r="H26" s="162" t="s">
        <v>279</v>
      </c>
      <c r="I26" s="173">
        <v>89592.114709699614</v>
      </c>
      <c r="J26" s="168">
        <f>IFERROR(MIN('MP Calculations'!$E$30/I26,1),"-")</f>
        <v>0.31014580161562261</v>
      </c>
      <c r="K26" s="12"/>
      <c r="L26" s="159">
        <v>14.554142000000001</v>
      </c>
      <c r="M26" s="187" t="s">
        <v>408</v>
      </c>
      <c r="N26" s="187">
        <v>1009.889055</v>
      </c>
      <c r="O26" s="186">
        <f t="shared" si="2"/>
        <v>14698.06871071581</v>
      </c>
      <c r="P26" s="186">
        <f t="shared" si="3"/>
        <v>4558.5443024864553</v>
      </c>
      <c r="Q26" s="215">
        <f>IF(P26="-",0,P26/(1+'General inputs'!$H$30)^'MP Calculations'!$C$40)</f>
        <v>10125.844340517637</v>
      </c>
      <c r="R26" s="201"/>
    </row>
    <row r="27" spans="3:18" x14ac:dyDescent="0.25">
      <c r="C27" s="159"/>
      <c r="D27" s="165" t="s">
        <v>282</v>
      </c>
      <c r="E27" s="162">
        <v>25569</v>
      </c>
      <c r="F27" s="166" t="str">
        <f t="shared" si="1"/>
        <v>Date check - OK</v>
      </c>
      <c r="G27" s="68"/>
      <c r="H27" s="162" t="s">
        <v>279</v>
      </c>
      <c r="I27" s="173">
        <v>89592.114709699614</v>
      </c>
      <c r="J27" s="168">
        <f>IFERROR(MIN('MP Calculations'!$E$30/I27,1),"-")</f>
        <v>0.31014580161562261</v>
      </c>
      <c r="K27" s="12"/>
      <c r="L27" s="159">
        <v>26.259174000000002</v>
      </c>
      <c r="M27" s="187" t="s">
        <v>408</v>
      </c>
      <c r="N27" s="187">
        <v>1009.889055</v>
      </c>
      <c r="O27" s="186">
        <f t="shared" si="2"/>
        <v>26518.852415940572</v>
      </c>
      <c r="P27" s="186">
        <f t="shared" si="3"/>
        <v>8224.7107404682793</v>
      </c>
      <c r="Q27" s="215">
        <f>IF(P27="-",0,P27/(1+'General inputs'!$H$30)^'MP Calculations'!$C$40)</f>
        <v>18269.459541796961</v>
      </c>
      <c r="R27" s="201"/>
    </row>
    <row r="28" spans="3:18" x14ac:dyDescent="0.25">
      <c r="C28" s="159"/>
      <c r="D28" s="165" t="s">
        <v>282</v>
      </c>
      <c r="E28" s="162">
        <v>25569</v>
      </c>
      <c r="F28" s="166" t="str">
        <f t="shared" si="1"/>
        <v>Date check - OK</v>
      </c>
      <c r="G28" s="68"/>
      <c r="H28" s="162" t="s">
        <v>279</v>
      </c>
      <c r="I28" s="173">
        <v>89592.114709699614</v>
      </c>
      <c r="J28" s="168">
        <f>IFERROR(MIN('MP Calculations'!$E$30/I28,1),"-")</f>
        <v>0.31014580161562261</v>
      </c>
      <c r="K28" s="12"/>
      <c r="L28" s="159">
        <v>16.456821000000001</v>
      </c>
      <c r="M28" s="187" t="s">
        <v>408</v>
      </c>
      <c r="N28" s="187">
        <v>1009.889055</v>
      </c>
      <c r="O28" s="186">
        <f t="shared" si="2"/>
        <v>16619.563407994156</v>
      </c>
      <c r="P28" s="186">
        <f t="shared" si="3"/>
        <v>5154.487815674016</v>
      </c>
      <c r="Q28" s="215">
        <f>IF(P28="-",0,P28/(1+'General inputs'!$H$30)^'MP Calculations'!$C$40)</f>
        <v>11449.607114302018</v>
      </c>
      <c r="R28" s="201"/>
    </row>
    <row r="29" spans="3:18" x14ac:dyDescent="0.25">
      <c r="C29" s="159"/>
      <c r="D29" s="165" t="s">
        <v>282</v>
      </c>
      <c r="E29" s="162">
        <v>25569</v>
      </c>
      <c r="F29" s="166" t="str">
        <f t="shared" si="1"/>
        <v>Date check - OK</v>
      </c>
      <c r="G29" s="68"/>
      <c r="H29" s="162" t="s">
        <v>279</v>
      </c>
      <c r="I29" s="173">
        <v>89592.114709699614</v>
      </c>
      <c r="J29" s="168">
        <f>IFERROR(MIN('MP Calculations'!$E$30/I29,1),"-")</f>
        <v>0.31014580161562261</v>
      </c>
      <c r="K29" s="12"/>
      <c r="L29" s="159">
        <v>16.758548999999999</v>
      </c>
      <c r="M29" s="187" t="s">
        <v>408</v>
      </c>
      <c r="N29" s="187">
        <v>1009.889055</v>
      </c>
      <c r="O29" s="186">
        <f t="shared" si="2"/>
        <v>16924.275212781195</v>
      </c>
      <c r="P29" s="186">
        <f t="shared" si="3"/>
        <v>5248.9929026314358</v>
      </c>
      <c r="Q29" s="215">
        <f>IF(P29="-",0,P29/(1+'General inputs'!$H$30)^'MP Calculations'!$C$40)</f>
        <v>11659.530224930986</v>
      </c>
      <c r="R29" s="201"/>
    </row>
    <row r="30" spans="3:18" x14ac:dyDescent="0.25">
      <c r="C30" s="159"/>
      <c r="D30" s="165" t="s">
        <v>282</v>
      </c>
      <c r="E30" s="162">
        <v>25569</v>
      </c>
      <c r="F30" s="166" t="str">
        <f t="shared" si="1"/>
        <v>Date check - OK</v>
      </c>
      <c r="G30" s="68"/>
      <c r="H30" s="162" t="s">
        <v>279</v>
      </c>
      <c r="I30" s="173">
        <v>89592.114709699614</v>
      </c>
      <c r="J30" s="168">
        <f>IFERROR(MIN('MP Calculations'!$E$30/I30,1),"-")</f>
        <v>0.31014580161562261</v>
      </c>
      <c r="K30" s="12"/>
      <c r="L30" s="159">
        <v>4.5707959999999996</v>
      </c>
      <c r="M30" s="187" t="s">
        <v>408</v>
      </c>
      <c r="N30" s="187">
        <v>1009.889055</v>
      </c>
      <c r="O30" s="186">
        <f t="shared" si="2"/>
        <v>4615.9968530377791</v>
      </c>
      <c r="P30" s="186">
        <f t="shared" si="3"/>
        <v>1431.6320442405934</v>
      </c>
      <c r="Q30" s="215">
        <f>IF(P30="-",0,P30/(1+'General inputs'!$H$30)^'MP Calculations'!$C$40)</f>
        <v>3180.0685198935566</v>
      </c>
    </row>
    <row r="31" spans="3:18" x14ac:dyDescent="0.25">
      <c r="C31" s="159"/>
      <c r="D31" s="165" t="s">
        <v>283</v>
      </c>
      <c r="E31" s="162">
        <v>25569</v>
      </c>
      <c r="F31" s="166" t="str">
        <f t="shared" si="1"/>
        <v>Date check - OK</v>
      </c>
      <c r="G31" s="68"/>
      <c r="H31" s="162" t="s">
        <v>279</v>
      </c>
      <c r="I31" s="173">
        <v>89592.114709699614</v>
      </c>
      <c r="J31" s="168">
        <f>IFERROR(MIN('MP Calculations'!$E$30/I31,1),"-")</f>
        <v>0.31014580161562261</v>
      </c>
      <c r="K31" s="12"/>
      <c r="L31" s="159">
        <v>23.144901999999998</v>
      </c>
      <c r="M31" s="187" t="s">
        <v>408</v>
      </c>
      <c r="N31" s="187">
        <v>480.89954999999998</v>
      </c>
      <c r="O31" s="186">
        <f t="shared" si="2"/>
        <v>11130.372956594099</v>
      </c>
      <c r="P31" s="186">
        <f t="shared" si="3"/>
        <v>3452.0384429037244</v>
      </c>
      <c r="Q31" s="215">
        <f>IF(P31="-",0,P31/(1+'General inputs'!$H$30)^'MP Calculations'!$C$40)</f>
        <v>7667.9750400275625</v>
      </c>
    </row>
    <row r="32" spans="3:18" x14ac:dyDescent="0.25">
      <c r="C32" s="159"/>
      <c r="D32" s="165" t="s">
        <v>284</v>
      </c>
      <c r="E32" s="162">
        <v>25569</v>
      </c>
      <c r="F32" s="166" t="str">
        <f t="shared" si="1"/>
        <v>Date check - OK</v>
      </c>
      <c r="G32" s="68"/>
      <c r="H32" s="162" t="s">
        <v>279</v>
      </c>
      <c r="I32" s="173">
        <v>89592.114709699614</v>
      </c>
      <c r="J32" s="168">
        <f>IFERROR(MIN('MP Calculations'!$E$30/I32,1),"-")</f>
        <v>0.31014580161562261</v>
      </c>
      <c r="K32" s="12"/>
      <c r="L32" s="159">
        <v>3.341599</v>
      </c>
      <c r="M32" s="187" t="s">
        <v>408</v>
      </c>
      <c r="N32" s="187">
        <v>304.56971499999997</v>
      </c>
      <c r="O32" s="186">
        <f t="shared" si="2"/>
        <v>1017.7498550742849</v>
      </c>
      <c r="P32" s="186">
        <f t="shared" si="3"/>
        <v>315.65084464619781</v>
      </c>
      <c r="Q32" s="215">
        <f>IF(P32="-",0,P32/(1+'General inputs'!$H$30)^'MP Calculations'!$C$40)</f>
        <v>701.15175081153234</v>
      </c>
    </row>
    <row r="33" spans="3:17" x14ac:dyDescent="0.25">
      <c r="C33" s="159"/>
      <c r="D33" s="165" t="s">
        <v>284</v>
      </c>
      <c r="E33" s="162">
        <v>25569</v>
      </c>
      <c r="F33" s="166" t="str">
        <f t="shared" si="1"/>
        <v>Date check - OK</v>
      </c>
      <c r="G33" s="68"/>
      <c r="H33" s="162" t="s">
        <v>279</v>
      </c>
      <c r="I33" s="173">
        <v>89592.114709699614</v>
      </c>
      <c r="J33" s="168">
        <f>IFERROR(MIN('MP Calculations'!$E$30/I33,1),"-")</f>
        <v>0.31014580161562261</v>
      </c>
      <c r="K33" s="12"/>
      <c r="L33" s="159">
        <v>9.1714629999999993</v>
      </c>
      <c r="M33" s="187" t="s">
        <v>408</v>
      </c>
      <c r="N33" s="187">
        <v>304.56971499999997</v>
      </c>
      <c r="O33" s="186">
        <f t="shared" si="2"/>
        <v>2793.3498720430443</v>
      </c>
      <c r="P33" s="186">
        <f t="shared" si="3"/>
        <v>866.34573525768678</v>
      </c>
      <c r="Q33" s="215">
        <f>IF(P33="-",0,P33/(1+'General inputs'!$H$30)^'MP Calculations'!$C$40)</f>
        <v>1924.4042567504923</v>
      </c>
    </row>
    <row r="34" spans="3:17" x14ac:dyDescent="0.25">
      <c r="C34" s="159"/>
      <c r="D34" s="165" t="s">
        <v>284</v>
      </c>
      <c r="E34" s="162">
        <v>25569</v>
      </c>
      <c r="F34" s="166" t="str">
        <f t="shared" si="1"/>
        <v>Date check - OK</v>
      </c>
      <c r="G34" s="68"/>
      <c r="H34" s="162" t="s">
        <v>279</v>
      </c>
      <c r="I34" s="173">
        <v>89592.114709699614</v>
      </c>
      <c r="J34" s="168">
        <f>IFERROR(MIN('MP Calculations'!$E$30/I34,1),"-")</f>
        <v>0.31014580161562261</v>
      </c>
      <c r="K34" s="12"/>
      <c r="L34" s="159">
        <v>9.2825880000000005</v>
      </c>
      <c r="M34" s="187" t="s">
        <v>408</v>
      </c>
      <c r="N34" s="187">
        <v>304.56971499999997</v>
      </c>
      <c r="O34" s="186">
        <f t="shared" si="2"/>
        <v>2827.19518162242</v>
      </c>
      <c r="P34" s="186">
        <f t="shared" si="3"/>
        <v>876.84271592811126</v>
      </c>
      <c r="Q34" s="215">
        <f>IF(P34="-",0,P34/(1+'General inputs'!$H$30)^'MP Calculations'!$C$40)</f>
        <v>1947.7210845053887</v>
      </c>
    </row>
    <row r="35" spans="3:17" x14ac:dyDescent="0.25">
      <c r="C35" s="159"/>
      <c r="D35" s="165" t="s">
        <v>284</v>
      </c>
      <c r="E35" s="162">
        <v>25569</v>
      </c>
      <c r="F35" s="166" t="str">
        <f t="shared" si="1"/>
        <v>Date check - OK</v>
      </c>
      <c r="G35" s="68"/>
      <c r="H35" s="162" t="s">
        <v>279</v>
      </c>
      <c r="I35" s="173">
        <v>89592.114709699614</v>
      </c>
      <c r="J35" s="168">
        <f>IFERROR(MIN('MP Calculations'!$E$30/I35,1),"-")</f>
        <v>0.31014580161562261</v>
      </c>
      <c r="K35" s="12"/>
      <c r="L35" s="159">
        <v>5.2244859999999997</v>
      </c>
      <c r="M35" s="187" t="s">
        <v>408</v>
      </c>
      <c r="N35" s="187">
        <v>304.56971499999997</v>
      </c>
      <c r="O35" s="186">
        <f t="shared" si="2"/>
        <v>1591.2202120414897</v>
      </c>
      <c r="P35" s="186">
        <f t="shared" si="3"/>
        <v>493.51026821058883</v>
      </c>
      <c r="Q35" s="215">
        <f>IF(P35="-",0,P35/(1+'General inputs'!$H$30)^'MP Calculations'!$C$40)</f>
        <v>1096.2289329121595</v>
      </c>
    </row>
    <row r="36" spans="3:17" x14ac:dyDescent="0.25">
      <c r="C36" s="159"/>
      <c r="D36" s="165" t="s">
        <v>284</v>
      </c>
      <c r="E36" s="162">
        <v>25569</v>
      </c>
      <c r="F36" s="166" t="str">
        <f t="shared" si="1"/>
        <v>Date check - OK</v>
      </c>
      <c r="G36" s="68"/>
      <c r="H36" s="162" t="s">
        <v>279</v>
      </c>
      <c r="I36" s="173">
        <v>89592.114709699614</v>
      </c>
      <c r="J36" s="168">
        <f>IFERROR(MIN('MP Calculations'!$E$30/I36,1),"-")</f>
        <v>0.31014580161562261</v>
      </c>
      <c r="K36" s="12"/>
      <c r="L36" s="159">
        <v>3.3308460000000002</v>
      </c>
      <c r="M36" s="187" t="s">
        <v>408</v>
      </c>
      <c r="N36" s="187">
        <v>304.56971499999997</v>
      </c>
      <c r="O36" s="186">
        <f t="shared" si="2"/>
        <v>1014.4748169288899</v>
      </c>
      <c r="P36" s="186">
        <f t="shared" si="3"/>
        <v>314.63510531527254</v>
      </c>
      <c r="Q36" s="215">
        <f>IF(P36="-",0,P36/(1+'General inputs'!$H$30)^'MP Calculations'!$C$40)</f>
        <v>698.89550020322292</v>
      </c>
    </row>
    <row r="37" spans="3:17" x14ac:dyDescent="0.25">
      <c r="C37" s="159"/>
      <c r="D37" s="165" t="s">
        <v>283</v>
      </c>
      <c r="E37" s="162">
        <v>25569</v>
      </c>
      <c r="F37" s="166" t="str">
        <f t="shared" si="1"/>
        <v>Date check - OK</v>
      </c>
      <c r="G37" s="68"/>
      <c r="H37" s="162" t="s">
        <v>279</v>
      </c>
      <c r="I37" s="173">
        <v>89592.114709699614</v>
      </c>
      <c r="J37" s="168">
        <f>IFERROR(MIN('MP Calculations'!$E$30/I37,1),"-")</f>
        <v>0.31014580161562261</v>
      </c>
      <c r="K37" s="12"/>
      <c r="L37" s="159">
        <v>48.582320000000003</v>
      </c>
      <c r="M37" s="187" t="s">
        <v>408</v>
      </c>
      <c r="N37" s="187">
        <v>480.89954999999998</v>
      </c>
      <c r="O37" s="186">
        <f t="shared" si="2"/>
        <v>23363.215825956002</v>
      </c>
      <c r="P37" s="186">
        <f t="shared" si="3"/>
        <v>7246.0033006599242</v>
      </c>
      <c r="Q37" s="215">
        <f>IF(P37="-",0,P37/(1+'General inputs'!$H$30)^'MP Calculations'!$C$40)</f>
        <v>16095.467466080947</v>
      </c>
    </row>
    <row r="38" spans="3:17" x14ac:dyDescent="0.25">
      <c r="C38" s="159"/>
      <c r="D38" s="165" t="s">
        <v>283</v>
      </c>
      <c r="E38" s="162">
        <v>25569</v>
      </c>
      <c r="F38" s="166" t="str">
        <f t="shared" si="1"/>
        <v>Date check - OK</v>
      </c>
      <c r="G38" s="68"/>
      <c r="H38" s="162" t="s">
        <v>279</v>
      </c>
      <c r="I38" s="173">
        <v>89592.114709699614</v>
      </c>
      <c r="J38" s="168">
        <f>IFERROR(MIN('MP Calculations'!$E$30/I38,1),"-")</f>
        <v>0.31014580161562261</v>
      </c>
      <c r="K38" s="12"/>
      <c r="L38" s="159">
        <v>61.45288</v>
      </c>
      <c r="M38" s="187" t="s">
        <v>408</v>
      </c>
      <c r="N38" s="187">
        <v>480.89954999999998</v>
      </c>
      <c r="O38" s="186">
        <f t="shared" si="2"/>
        <v>29552.662338203998</v>
      </c>
      <c r="P38" s="186">
        <f t="shared" si="3"/>
        <v>9165.6341507580983</v>
      </c>
      <c r="Q38" s="215">
        <f>IF(P38="-",0,P38/(1+'General inputs'!$H$30)^'MP Calculations'!$C$40)</f>
        <v>20359.522368157312</v>
      </c>
    </row>
    <row r="39" spans="3:17" x14ac:dyDescent="0.25">
      <c r="C39" s="159"/>
      <c r="D39" s="165" t="s">
        <v>283</v>
      </c>
      <c r="E39" s="162">
        <v>25569</v>
      </c>
      <c r="F39" s="166" t="str">
        <f t="shared" si="1"/>
        <v>Date check - OK</v>
      </c>
      <c r="G39" s="68"/>
      <c r="H39" s="162" t="s">
        <v>279</v>
      </c>
      <c r="I39" s="173">
        <v>89592.114709699614</v>
      </c>
      <c r="J39" s="168">
        <f>IFERROR(MIN('MP Calculations'!$E$30/I39,1),"-")</f>
        <v>0.31014580161562261</v>
      </c>
      <c r="K39" s="12"/>
      <c r="L39" s="159">
        <v>29.062895999999999</v>
      </c>
      <c r="M39" s="187" t="s">
        <v>408</v>
      </c>
      <c r="N39" s="187">
        <v>480.89954999999998</v>
      </c>
      <c r="O39" s="186">
        <f t="shared" si="2"/>
        <v>13976.333608096798</v>
      </c>
      <c r="P39" s="186">
        <f t="shared" si="3"/>
        <v>4334.701190530549</v>
      </c>
      <c r="Q39" s="215">
        <f>IF(P39="-",0,P39/(1+'General inputs'!$H$30)^'MP Calculations'!$C$40)</f>
        <v>9628.6240969573719</v>
      </c>
    </row>
    <row r="40" spans="3:17" x14ac:dyDescent="0.25">
      <c r="C40" s="159"/>
      <c r="D40" s="165" t="s">
        <v>283</v>
      </c>
      <c r="E40" s="162">
        <v>25569</v>
      </c>
      <c r="F40" s="166" t="str">
        <f t="shared" si="1"/>
        <v>Date check - OK</v>
      </c>
      <c r="G40" s="68"/>
      <c r="H40" s="162" t="s">
        <v>279</v>
      </c>
      <c r="I40" s="173">
        <v>89592.114709699614</v>
      </c>
      <c r="J40" s="168">
        <f>IFERROR(MIN('MP Calculations'!$E$30/I40,1),"-")</f>
        <v>0.31014580161562261</v>
      </c>
      <c r="K40" s="12"/>
      <c r="L40" s="159">
        <v>47.005482999999998</v>
      </c>
      <c r="M40" s="187" t="s">
        <v>408</v>
      </c>
      <c r="N40" s="187">
        <v>480.89954999999998</v>
      </c>
      <c r="O40" s="186">
        <f t="shared" si="2"/>
        <v>22604.915622232649</v>
      </c>
      <c r="P40" s="186">
        <f t="shared" si="3"/>
        <v>7010.8196761108557</v>
      </c>
      <c r="Q40" s="215">
        <f>IF(P40="-",0,P40/(1+'General inputs'!$H$30)^'MP Calculations'!$C$40)</f>
        <v>15573.056666579963</v>
      </c>
    </row>
    <row r="41" spans="3:17" x14ac:dyDescent="0.25">
      <c r="C41" s="159"/>
      <c r="D41" s="165" t="s">
        <v>283</v>
      </c>
      <c r="E41" s="162">
        <v>25569</v>
      </c>
      <c r="F41" s="166" t="str">
        <f t="shared" si="1"/>
        <v>Date check - OK</v>
      </c>
      <c r="G41" s="68"/>
      <c r="H41" s="162" t="s">
        <v>279</v>
      </c>
      <c r="I41" s="173">
        <v>89592.114709699614</v>
      </c>
      <c r="J41" s="168">
        <f>IFERROR(MIN('MP Calculations'!$E$30/I41,1),"-")</f>
        <v>0.31014580161562261</v>
      </c>
      <c r="K41" s="12"/>
      <c r="L41" s="159">
        <v>93.998887999999994</v>
      </c>
      <c r="M41" s="187" t="s">
        <v>408</v>
      </c>
      <c r="N41" s="187">
        <v>480.89954999999998</v>
      </c>
      <c r="O41" s="186">
        <f t="shared" si="2"/>
        <v>45204.022939700393</v>
      </c>
      <c r="P41" s="186">
        <f t="shared" si="3"/>
        <v>14019.837930884372</v>
      </c>
      <c r="Q41" s="215">
        <f>IF(P41="-",0,P41/(1+'General inputs'!$H$30)^'MP Calculations'!$C$40)</f>
        <v>31142.111855748895</v>
      </c>
    </row>
    <row r="42" spans="3:17" x14ac:dyDescent="0.25">
      <c r="C42" s="159"/>
      <c r="D42" s="165" t="s">
        <v>283</v>
      </c>
      <c r="E42" s="162">
        <v>25569</v>
      </c>
      <c r="F42" s="166" t="str">
        <f t="shared" si="1"/>
        <v>Date check - OK</v>
      </c>
      <c r="G42" s="68"/>
      <c r="H42" s="162" t="s">
        <v>279</v>
      </c>
      <c r="I42" s="173">
        <v>89592.114709699614</v>
      </c>
      <c r="J42" s="168">
        <f>IFERROR(MIN('MP Calculations'!$E$30/I42,1),"-")</f>
        <v>0.31014580161562261</v>
      </c>
      <c r="K42" s="12"/>
      <c r="L42" s="159">
        <v>8.0967610000000008</v>
      </c>
      <c r="M42" s="187" t="s">
        <v>408</v>
      </c>
      <c r="N42" s="187">
        <v>480.89954999999998</v>
      </c>
      <c r="O42" s="186">
        <f t="shared" si="2"/>
        <v>3893.7287213575501</v>
      </c>
      <c r="P42" s="186">
        <f t="shared" si="3"/>
        <v>1207.6236155592105</v>
      </c>
      <c r="Q42" s="215">
        <f>IF(P42="-",0,P42/(1+'General inputs'!$H$30)^'MP Calculations'!$C$40)</f>
        <v>2682.4810601085546</v>
      </c>
    </row>
    <row r="43" spans="3:17" x14ac:dyDescent="0.25">
      <c r="C43" s="159"/>
      <c r="D43" s="165" t="s">
        <v>283</v>
      </c>
      <c r="E43" s="162">
        <v>25569</v>
      </c>
      <c r="F43" s="166" t="str">
        <f t="shared" si="1"/>
        <v>Date check - OK</v>
      </c>
      <c r="G43" s="68"/>
      <c r="H43" s="162" t="s">
        <v>279</v>
      </c>
      <c r="I43" s="173">
        <v>89592.114709699614</v>
      </c>
      <c r="J43" s="168">
        <f>IFERROR(MIN('MP Calculations'!$E$30/I43,1),"-")</f>
        <v>0.31014580161562261</v>
      </c>
      <c r="K43" s="12"/>
      <c r="L43" s="159">
        <v>17.869413000000002</v>
      </c>
      <c r="M43" s="187" t="s">
        <v>408</v>
      </c>
      <c r="N43" s="187">
        <v>480.89954999999998</v>
      </c>
      <c r="O43" s="186">
        <f t="shared" si="2"/>
        <v>8593.3926704641508</v>
      </c>
      <c r="P43" s="186">
        <f t="shared" si="3"/>
        <v>2665.2046583789197</v>
      </c>
      <c r="Q43" s="215">
        <f>IF(P43="-",0,P43/(1+'General inputs'!$H$30)^'MP Calculations'!$C$40)</f>
        <v>5920.1898052514571</v>
      </c>
    </row>
    <row r="44" spans="3:17" x14ac:dyDescent="0.25">
      <c r="C44" s="159"/>
      <c r="D44" s="165" t="s">
        <v>283</v>
      </c>
      <c r="E44" s="162">
        <v>25569</v>
      </c>
      <c r="F44" s="166" t="str">
        <f t="shared" si="1"/>
        <v>Date check - OK</v>
      </c>
      <c r="G44" s="68"/>
      <c r="H44" s="162" t="s">
        <v>279</v>
      </c>
      <c r="I44" s="173">
        <v>89592.114709699614</v>
      </c>
      <c r="J44" s="168">
        <f>IFERROR(MIN('MP Calculations'!$E$30/I44,1),"-")</f>
        <v>0.31014580161562261</v>
      </c>
      <c r="K44" s="12"/>
      <c r="L44" s="159">
        <v>32.385885999999999</v>
      </c>
      <c r="M44" s="187" t="s">
        <v>408</v>
      </c>
      <c r="N44" s="187">
        <v>480.89954999999998</v>
      </c>
      <c r="O44" s="186">
        <f t="shared" si="2"/>
        <v>15574.358003751298</v>
      </c>
      <c r="P44" s="186">
        <f t="shared" si="3"/>
        <v>4830.3217477221342</v>
      </c>
      <c r="Q44" s="215">
        <f>IF(P44="-",0,P44/(1+'General inputs'!$H$30)^'MP Calculations'!$C$40)</f>
        <v>10729.540591581595</v>
      </c>
    </row>
    <row r="45" spans="3:17" x14ac:dyDescent="0.25">
      <c r="C45" s="159"/>
      <c r="D45" s="165" t="s">
        <v>282</v>
      </c>
      <c r="E45" s="162">
        <v>25700</v>
      </c>
      <c r="F45" s="166" t="str">
        <f t="shared" si="1"/>
        <v>Date check - OK</v>
      </c>
      <c r="G45" s="68"/>
      <c r="H45" s="162" t="s">
        <v>279</v>
      </c>
      <c r="I45" s="173">
        <v>89592.114709699614</v>
      </c>
      <c r="J45" s="168">
        <f>IFERROR(MIN('MP Calculations'!$E$30/I45,1),"-")</f>
        <v>0.31014580161562261</v>
      </c>
      <c r="K45" s="12"/>
      <c r="L45" s="159">
        <v>30.875474000000001</v>
      </c>
      <c r="M45" s="187" t="s">
        <v>408</v>
      </c>
      <c r="N45" s="187">
        <v>1009.889055</v>
      </c>
      <c r="O45" s="186">
        <f t="shared" si="2"/>
        <v>31180.803260537072</v>
      </c>
      <c r="P45" s="186">
        <f t="shared" si="3"/>
        <v>9670.5952222582891</v>
      </c>
      <c r="Q45" s="215">
        <f>IF(P45="-",0,P45/(1+'General inputs'!$H$30)^'MP Calculations'!$C$40)</f>
        <v>21481.186844521613</v>
      </c>
    </row>
    <row r="46" spans="3:17" x14ac:dyDescent="0.25">
      <c r="C46" s="159"/>
      <c r="D46" s="165" t="s">
        <v>282</v>
      </c>
      <c r="E46" s="162">
        <v>25700</v>
      </c>
      <c r="F46" s="166" t="str">
        <f t="shared" si="1"/>
        <v>Date check - OK</v>
      </c>
      <c r="G46" s="68"/>
      <c r="H46" s="162" t="s">
        <v>279</v>
      </c>
      <c r="I46" s="173">
        <v>89592.114709699614</v>
      </c>
      <c r="J46" s="168">
        <f>IFERROR(MIN('MP Calculations'!$E$30/I46,1),"-")</f>
        <v>0.31014580161562261</v>
      </c>
      <c r="K46" s="12"/>
      <c r="L46" s="159">
        <v>71.592224000000002</v>
      </c>
      <c r="M46" s="187" t="s">
        <v>408</v>
      </c>
      <c r="N46" s="187">
        <v>1009.889055</v>
      </c>
      <c r="O46" s="186">
        <f t="shared" si="2"/>
        <v>72300.203440708327</v>
      </c>
      <c r="P46" s="186">
        <f t="shared" si="3"/>
        <v>22423.604553091081</v>
      </c>
      <c r="Q46" s="215">
        <f>IF(P46="-",0,P46/(1+'General inputs'!$H$30)^'MP Calculations'!$C$40)</f>
        <v>49809.3062590341</v>
      </c>
    </row>
    <row r="47" spans="3:17" x14ac:dyDescent="0.25">
      <c r="C47" s="159"/>
      <c r="D47" s="165" t="s">
        <v>282</v>
      </c>
      <c r="E47" s="162">
        <v>25700</v>
      </c>
      <c r="F47" s="166" t="str">
        <f t="shared" si="1"/>
        <v>Date check - OK</v>
      </c>
      <c r="G47" s="68"/>
      <c r="H47" s="162" t="s">
        <v>279</v>
      </c>
      <c r="I47" s="173">
        <v>89592.114709699614</v>
      </c>
      <c r="J47" s="168">
        <f>IFERROR(MIN('MP Calculations'!$E$30/I47,1),"-")</f>
        <v>0.31014580161562261</v>
      </c>
      <c r="K47" s="12"/>
      <c r="L47" s="159">
        <v>72.209911000000005</v>
      </c>
      <c r="M47" s="187" t="s">
        <v>408</v>
      </c>
      <c r="N47" s="187">
        <v>1009.889055</v>
      </c>
      <c r="O47" s="186">
        <f t="shared" si="2"/>
        <v>72923.998781424103</v>
      </c>
      <c r="P47" s="186">
        <f t="shared" si="3"/>
        <v>22617.072059081464</v>
      </c>
      <c r="Q47" s="215">
        <f>IF(P47="-",0,P47/(1+'General inputs'!$H$30)^'MP Calculations'!$C$40)</f>
        <v>50239.053503025614</v>
      </c>
    </row>
    <row r="48" spans="3:17" x14ac:dyDescent="0.25">
      <c r="C48" s="159"/>
      <c r="D48" s="165" t="s">
        <v>282</v>
      </c>
      <c r="E48" s="162">
        <v>25700</v>
      </c>
      <c r="F48" s="166" t="str">
        <f t="shared" si="1"/>
        <v>Date check - OK</v>
      </c>
      <c r="G48" s="68"/>
      <c r="H48" s="162" t="s">
        <v>279</v>
      </c>
      <c r="I48" s="173">
        <v>89592.114709699614</v>
      </c>
      <c r="J48" s="168">
        <f>IFERROR(MIN('MP Calculations'!$E$30/I48,1),"-")</f>
        <v>0.31014580161562261</v>
      </c>
      <c r="K48" s="12"/>
      <c r="L48" s="159">
        <v>72.283420000000007</v>
      </c>
      <c r="M48" s="187" t="s">
        <v>408</v>
      </c>
      <c r="N48" s="187">
        <v>1009.889055</v>
      </c>
      <c r="O48" s="186">
        <f t="shared" si="2"/>
        <v>72998.234715968109</v>
      </c>
      <c r="P48" s="186">
        <f t="shared" si="3"/>
        <v>22640.0960225093</v>
      </c>
      <c r="Q48" s="215">
        <f>IF(P48="-",0,P48/(1+'General inputs'!$H$30)^'MP Calculations'!$C$40)</f>
        <v>50290.196379852518</v>
      </c>
    </row>
    <row r="49" spans="3:17" x14ac:dyDescent="0.25">
      <c r="C49" s="159"/>
      <c r="D49" s="165" t="s">
        <v>282</v>
      </c>
      <c r="E49" s="162">
        <v>25700</v>
      </c>
      <c r="F49" s="166" t="str">
        <f t="shared" si="1"/>
        <v>Date check - OK</v>
      </c>
      <c r="G49" s="68"/>
      <c r="H49" s="162" t="s">
        <v>279</v>
      </c>
      <c r="I49" s="173">
        <v>89592.114709699614</v>
      </c>
      <c r="J49" s="168">
        <f>IFERROR(MIN('MP Calculations'!$E$30/I49,1),"-")</f>
        <v>0.31014580161562261</v>
      </c>
      <c r="K49" s="12"/>
      <c r="L49" s="159">
        <v>36.261833000000003</v>
      </c>
      <c r="M49" s="187" t="s">
        <v>408</v>
      </c>
      <c r="N49" s="187">
        <v>1009.889055</v>
      </c>
      <c r="O49" s="186">
        <f t="shared" si="2"/>
        <v>36620.428260937821</v>
      </c>
      <c r="P49" s="186">
        <f t="shared" si="3"/>
        <v>11357.672078495962</v>
      </c>
      <c r="Q49" s="215">
        <f>IF(P49="-",0,P49/(1+'General inputs'!$H$30)^'MP Calculations'!$C$40)</f>
        <v>25228.672116834216</v>
      </c>
    </row>
    <row r="50" spans="3:17" x14ac:dyDescent="0.25">
      <c r="C50" s="159"/>
      <c r="D50" s="165" t="s">
        <v>282</v>
      </c>
      <c r="E50" s="162">
        <v>25700</v>
      </c>
      <c r="F50" s="166" t="str">
        <f t="shared" si="1"/>
        <v>Date check - OK</v>
      </c>
      <c r="G50" s="68"/>
      <c r="H50" s="162" t="s">
        <v>279</v>
      </c>
      <c r="I50" s="173">
        <v>89592.114709699614</v>
      </c>
      <c r="J50" s="168">
        <f>IFERROR(MIN('MP Calculations'!$E$30/I50,1),"-")</f>
        <v>0.31014580161562261</v>
      </c>
      <c r="K50" s="12"/>
      <c r="L50" s="159">
        <v>4.2661110000000004</v>
      </c>
      <c r="M50" s="187" t="s">
        <v>408</v>
      </c>
      <c r="N50" s="187">
        <v>1009.889055</v>
      </c>
      <c r="O50" s="186">
        <f t="shared" si="2"/>
        <v>4308.2988063151051</v>
      </c>
      <c r="P50" s="186">
        <f t="shared" si="3"/>
        <v>1336.2007868842284</v>
      </c>
      <c r="Q50" s="215">
        <f>IF(P50="-",0,P50/(1+'General inputs'!$H$30)^'MP Calculations'!$C$40)</f>
        <v>2968.088117140127</v>
      </c>
    </row>
    <row r="51" spans="3:17" x14ac:dyDescent="0.25">
      <c r="C51" s="159"/>
      <c r="D51" s="165" t="s">
        <v>281</v>
      </c>
      <c r="E51" s="162">
        <v>25934</v>
      </c>
      <c r="F51" s="166" t="str">
        <f t="shared" si="1"/>
        <v>Date check - OK</v>
      </c>
      <c r="G51" s="68"/>
      <c r="H51" s="162" t="s">
        <v>279</v>
      </c>
      <c r="I51" s="173">
        <v>89592.114709699614</v>
      </c>
      <c r="J51" s="168">
        <f>IFERROR(MIN('MP Calculations'!$E$30/I51,1),"-")</f>
        <v>0.31014580161562261</v>
      </c>
      <c r="K51" s="12"/>
      <c r="L51" s="159">
        <v>30.230571000000001</v>
      </c>
      <c r="M51" s="187" t="s">
        <v>408</v>
      </c>
      <c r="N51" s="187">
        <v>657.22938499999998</v>
      </c>
      <c r="O51" s="186">
        <f t="shared" si="2"/>
        <v>19868.419586528835</v>
      </c>
      <c r="P51" s="186">
        <f t="shared" si="3"/>
        <v>6162.1069194995225</v>
      </c>
      <c r="Q51" s="215">
        <f>IF(P51="-",0,P51/(1+'General inputs'!$H$30)^'MP Calculations'!$C$40)</f>
        <v>13687.820351432068</v>
      </c>
    </row>
    <row r="52" spans="3:17" x14ac:dyDescent="0.25">
      <c r="C52" s="159"/>
      <c r="D52" s="165" t="s">
        <v>283</v>
      </c>
      <c r="E52" s="162">
        <v>25934</v>
      </c>
      <c r="F52" s="166" t="str">
        <f t="shared" si="1"/>
        <v>Date check - OK</v>
      </c>
      <c r="G52" s="68"/>
      <c r="H52" s="162" t="s">
        <v>279</v>
      </c>
      <c r="I52" s="173">
        <v>89592.114709699614</v>
      </c>
      <c r="J52" s="168">
        <f>IFERROR(MIN('MP Calculations'!$E$30/I52,1),"-")</f>
        <v>0.31014580161562261</v>
      </c>
      <c r="K52" s="12"/>
      <c r="L52" s="159">
        <v>77.830624</v>
      </c>
      <c r="M52" s="187" t="s">
        <v>408</v>
      </c>
      <c r="N52" s="187">
        <v>480.89954999999998</v>
      </c>
      <c r="O52" s="186">
        <f t="shared" si="2"/>
        <v>37428.712057819197</v>
      </c>
      <c r="P52" s="186">
        <f t="shared" si="3"/>
        <v>11608.357904612654</v>
      </c>
      <c r="Q52" s="215">
        <f>IF(P52="-",0,P52/(1+'General inputs'!$H$30)^'MP Calculations'!$C$40)</f>
        <v>25785.517786239496</v>
      </c>
    </row>
    <row r="53" spans="3:17" x14ac:dyDescent="0.25">
      <c r="C53" s="159"/>
      <c r="D53" s="165" t="s">
        <v>283</v>
      </c>
      <c r="E53" s="162">
        <v>25934</v>
      </c>
      <c r="F53" s="166" t="str">
        <f t="shared" si="1"/>
        <v>Date check - OK</v>
      </c>
      <c r="G53" s="68"/>
      <c r="H53" s="162" t="s">
        <v>279</v>
      </c>
      <c r="I53" s="173">
        <v>89592.114709699614</v>
      </c>
      <c r="J53" s="168">
        <f>IFERROR(MIN('MP Calculations'!$E$30/I53,1),"-")</f>
        <v>0.31014580161562261</v>
      </c>
      <c r="K53" s="12"/>
      <c r="L53" s="159">
        <v>12.308059</v>
      </c>
      <c r="M53" s="187" t="s">
        <v>408</v>
      </c>
      <c r="N53" s="187">
        <v>480.89954999999998</v>
      </c>
      <c r="O53" s="186">
        <f t="shared" si="2"/>
        <v>5918.9400344734495</v>
      </c>
      <c r="P53" s="186">
        <f t="shared" si="3"/>
        <v>1835.7344017065689</v>
      </c>
      <c r="Q53" s="215">
        <f>IF(P53="-",0,P53/(1+'General inputs'!$H$30)^'MP Calculations'!$C$40)</f>
        <v>4077.6966436577086</v>
      </c>
    </row>
    <row r="54" spans="3:17" x14ac:dyDescent="0.25">
      <c r="C54" s="159"/>
      <c r="D54" s="165" t="s">
        <v>285</v>
      </c>
      <c r="E54" s="162">
        <v>25934</v>
      </c>
      <c r="F54" s="166" t="str">
        <f t="shared" si="1"/>
        <v>Date check - OK</v>
      </c>
      <c r="G54" s="68"/>
      <c r="H54" s="162" t="s">
        <v>279</v>
      </c>
      <c r="I54" s="173">
        <v>89592.114709699614</v>
      </c>
      <c r="J54" s="168">
        <f>IFERROR(MIN('MP Calculations'!$E$30/I54,1),"-")</f>
        <v>0.31014580161562261</v>
      </c>
      <c r="K54" s="12"/>
      <c r="L54" s="159">
        <v>80.137003000000007</v>
      </c>
      <c r="M54" s="187" t="s">
        <v>408</v>
      </c>
      <c r="N54" s="187">
        <v>612.70164899999997</v>
      </c>
      <c r="O54" s="186">
        <f t="shared" si="2"/>
        <v>49100.073884017947</v>
      </c>
      <c r="P54" s="186">
        <f t="shared" si="3"/>
        <v>15228.181774145043</v>
      </c>
      <c r="Q54" s="215">
        <f>IF(P54="-",0,P54/(1+'General inputs'!$H$30)^'MP Calculations'!$C$40)</f>
        <v>33826.19274973221</v>
      </c>
    </row>
    <row r="55" spans="3:17" x14ac:dyDescent="0.25">
      <c r="C55" s="159"/>
      <c r="D55" s="165" t="s">
        <v>285</v>
      </c>
      <c r="E55" s="162">
        <v>25934</v>
      </c>
      <c r="F55" s="166" t="str">
        <f t="shared" si="1"/>
        <v>Date check - OK</v>
      </c>
      <c r="G55" s="68"/>
      <c r="H55" s="162" t="s">
        <v>279</v>
      </c>
      <c r="I55" s="173">
        <v>89592.114709699614</v>
      </c>
      <c r="J55" s="168">
        <f>IFERROR(MIN('MP Calculations'!$E$30/I55,1),"-")</f>
        <v>0.31014580161562261</v>
      </c>
      <c r="K55" s="12"/>
      <c r="L55" s="159">
        <v>148.60103599999999</v>
      </c>
      <c r="M55" s="187" t="s">
        <v>408</v>
      </c>
      <c r="N55" s="187">
        <v>612.70164899999997</v>
      </c>
      <c r="O55" s="186">
        <f t="shared" si="2"/>
        <v>91048.099800308351</v>
      </c>
      <c r="P55" s="186">
        <f t="shared" si="3"/>
        <v>28238.185898145843</v>
      </c>
      <c r="Q55" s="215">
        <f>IF(P55="-",0,P55/(1+'General inputs'!$H$30)^'MP Calculations'!$C$40)</f>
        <v>62725.171872797568</v>
      </c>
    </row>
    <row r="56" spans="3:17" x14ac:dyDescent="0.25">
      <c r="C56" s="159"/>
      <c r="D56" s="165" t="s">
        <v>285</v>
      </c>
      <c r="E56" s="162">
        <v>25934</v>
      </c>
      <c r="F56" s="166" t="str">
        <f t="shared" si="1"/>
        <v>Date check - OK</v>
      </c>
      <c r="G56" s="68"/>
      <c r="H56" s="162" t="s">
        <v>279</v>
      </c>
      <c r="I56" s="173">
        <v>89592.114709699614</v>
      </c>
      <c r="J56" s="168">
        <f>IFERROR(MIN('MP Calculations'!$E$30/I56,1),"-")</f>
        <v>0.31014580161562261</v>
      </c>
      <c r="K56" s="12"/>
      <c r="L56" s="159">
        <v>1.8996299999999999</v>
      </c>
      <c r="M56" s="187" t="s">
        <v>408</v>
      </c>
      <c r="N56" s="187">
        <v>612.70164899999997</v>
      </c>
      <c r="O56" s="186">
        <f t="shared" si="2"/>
        <v>1163.9064334898699</v>
      </c>
      <c r="P56" s="186">
        <f t="shared" si="3"/>
        <v>360.98069382029604</v>
      </c>
      <c r="Q56" s="215">
        <f>IF(P56="-",0,P56/(1+'General inputs'!$H$30)^'MP Calculations'!$C$40)</f>
        <v>801.84244640611018</v>
      </c>
    </row>
    <row r="57" spans="3:17" x14ac:dyDescent="0.25">
      <c r="C57" s="159"/>
      <c r="D57" s="165" t="s">
        <v>286</v>
      </c>
      <c r="E57" s="162">
        <v>25934</v>
      </c>
      <c r="F57" s="166" t="str">
        <f t="shared" si="1"/>
        <v>Date check - OK</v>
      </c>
      <c r="G57" s="68"/>
      <c r="H57" s="162" t="s">
        <v>279</v>
      </c>
      <c r="I57" s="173">
        <v>89592.114709699614</v>
      </c>
      <c r="J57" s="168">
        <f>IFERROR(MIN('MP Calculations'!$E$30/I57,1),"-")</f>
        <v>0.31014580161562261</v>
      </c>
      <c r="K57" s="12"/>
      <c r="L57" s="159">
        <v>2.2901639999999999</v>
      </c>
      <c r="M57" s="187" t="s">
        <v>408</v>
      </c>
      <c r="N57" s="187">
        <v>178.11094499999999</v>
      </c>
      <c r="O57" s="186">
        <f t="shared" si="2"/>
        <v>407.90327424497997</v>
      </c>
      <c r="P57" s="186">
        <f t="shared" si="3"/>
        <v>126.50948797234646</v>
      </c>
      <c r="Q57" s="215">
        <f>IF(P57="-",0,P57/(1+'General inputs'!$H$30)^'MP Calculations'!$C$40)</f>
        <v>281.01413473328302</v>
      </c>
    </row>
    <row r="58" spans="3:17" x14ac:dyDescent="0.25">
      <c r="C58" s="159"/>
      <c r="D58" s="165" t="s">
        <v>286</v>
      </c>
      <c r="E58" s="162">
        <v>25934</v>
      </c>
      <c r="F58" s="166" t="str">
        <f t="shared" si="1"/>
        <v>Date check - OK</v>
      </c>
      <c r="G58" s="68"/>
      <c r="H58" s="162" t="s">
        <v>279</v>
      </c>
      <c r="I58" s="173">
        <v>89592.114709699614</v>
      </c>
      <c r="J58" s="168">
        <f>IFERROR(MIN('MP Calculations'!$E$30/I58,1),"-")</f>
        <v>0.31014580161562261</v>
      </c>
      <c r="K58" s="12"/>
      <c r="L58" s="159">
        <v>1.7004729999999999</v>
      </c>
      <c r="M58" s="187" t="s">
        <v>408</v>
      </c>
      <c r="N58" s="187">
        <v>178.11094499999999</v>
      </c>
      <c r="O58" s="186">
        <f t="shared" si="2"/>
        <v>302.87285297698497</v>
      </c>
      <c r="P58" s="186">
        <f t="shared" si="3"/>
        <v>93.93474377415761</v>
      </c>
      <c r="Q58" s="215">
        <f>IF(P58="-",0,P58/(1+'General inputs'!$H$30)^'MP Calculations'!$C$40)</f>
        <v>208.65621358658592</v>
      </c>
    </row>
    <row r="59" spans="3:17" x14ac:dyDescent="0.25">
      <c r="C59" s="159"/>
      <c r="D59" s="165" t="s">
        <v>285</v>
      </c>
      <c r="E59" s="162">
        <v>25934</v>
      </c>
      <c r="F59" s="166" t="str">
        <f t="shared" si="1"/>
        <v>Date check - OK</v>
      </c>
      <c r="G59" s="68"/>
      <c r="H59" s="162" t="s">
        <v>279</v>
      </c>
      <c r="I59" s="173">
        <v>89592.114709699614</v>
      </c>
      <c r="J59" s="168">
        <f>IFERROR(MIN('MP Calculations'!$E$30/I59,1),"-")</f>
        <v>0.31014580161562261</v>
      </c>
      <c r="K59" s="12"/>
      <c r="L59" s="159">
        <v>1.899554</v>
      </c>
      <c r="M59" s="187" t="s">
        <v>408</v>
      </c>
      <c r="N59" s="187">
        <v>612.70164899999997</v>
      </c>
      <c r="O59" s="186">
        <f t="shared" si="2"/>
        <v>1163.859868164546</v>
      </c>
      <c r="P59" s="186">
        <f t="shared" si="3"/>
        <v>360.96625178014597</v>
      </c>
      <c r="Q59" s="215">
        <f>IF(P59="-",0,P59/(1+'General inputs'!$H$30)^'MP Calculations'!$C$40)</f>
        <v>801.81036646110681</v>
      </c>
    </row>
    <row r="60" spans="3:17" x14ac:dyDescent="0.25">
      <c r="C60" s="159"/>
      <c r="D60" s="165" t="s">
        <v>286</v>
      </c>
      <c r="E60" s="162">
        <v>25934</v>
      </c>
      <c r="F60" s="166" t="str">
        <f t="shared" si="1"/>
        <v>Date check - OK</v>
      </c>
      <c r="G60" s="68"/>
      <c r="H60" s="162" t="s">
        <v>279</v>
      </c>
      <c r="I60" s="173">
        <v>89592.114709699614</v>
      </c>
      <c r="J60" s="168">
        <f>IFERROR(MIN('MP Calculations'!$E$30/I60,1),"-")</f>
        <v>0.31014580161562261</v>
      </c>
      <c r="K60" s="12"/>
      <c r="L60" s="159">
        <v>1.5880000000000001</v>
      </c>
      <c r="M60" s="187" t="s">
        <v>408</v>
      </c>
      <c r="N60" s="187">
        <v>178.11094499999999</v>
      </c>
      <c r="O60" s="186">
        <f t="shared" si="2"/>
        <v>282.84018065999999</v>
      </c>
      <c r="P60" s="186">
        <f t="shared" si="3"/>
        <v>87.721694559903213</v>
      </c>
      <c r="Q60" s="215">
        <f>IF(P60="-",0,P60/(1+'General inputs'!$H$30)^'MP Calculations'!$C$40)</f>
        <v>194.85523567589632</v>
      </c>
    </row>
    <row r="61" spans="3:17" x14ac:dyDescent="0.25">
      <c r="C61" s="159"/>
      <c r="D61" s="165" t="s">
        <v>285</v>
      </c>
      <c r="E61" s="162">
        <v>25934</v>
      </c>
      <c r="F61" s="166" t="str">
        <f t="shared" si="1"/>
        <v>Date check - OK</v>
      </c>
      <c r="G61" s="68"/>
      <c r="H61" s="162" t="s">
        <v>279</v>
      </c>
      <c r="I61" s="173">
        <v>89592.114709699614</v>
      </c>
      <c r="J61" s="168">
        <f>IFERROR(MIN('MP Calculations'!$E$30/I61,1),"-")</f>
        <v>0.31014580161562261</v>
      </c>
      <c r="K61" s="12"/>
      <c r="L61" s="159">
        <v>86.172732999999994</v>
      </c>
      <c r="M61" s="187" t="s">
        <v>408</v>
      </c>
      <c r="N61" s="187">
        <v>612.70164899999997</v>
      </c>
      <c r="O61" s="186">
        <f t="shared" si="2"/>
        <v>52798.175607936711</v>
      </c>
      <c r="P61" s="186">
        <f t="shared" si="3"/>
        <v>16375.132497765944</v>
      </c>
      <c r="Q61" s="215">
        <f>IF(P61="-",0,P61/(1+'General inputs'!$H$30)^'MP Calculations'!$C$40)</f>
        <v>36373.901782042049</v>
      </c>
    </row>
    <row r="62" spans="3:17" x14ac:dyDescent="0.25">
      <c r="C62" s="159"/>
      <c r="D62" s="165" t="s">
        <v>285</v>
      </c>
      <c r="E62" s="162">
        <v>25934</v>
      </c>
      <c r="F62" s="166" t="str">
        <f t="shared" si="1"/>
        <v>Date check - OK</v>
      </c>
      <c r="G62" s="68"/>
      <c r="H62" s="162" t="s">
        <v>279</v>
      </c>
      <c r="I62" s="173">
        <v>89592.114709699614</v>
      </c>
      <c r="J62" s="168">
        <f>IFERROR(MIN('MP Calculations'!$E$30/I62,1),"-")</f>
        <v>0.31014580161562261</v>
      </c>
      <c r="K62" s="12"/>
      <c r="L62" s="159">
        <v>266.81228099999998</v>
      </c>
      <c r="M62" s="187" t="s">
        <v>408</v>
      </c>
      <c r="N62" s="187">
        <v>612.70164899999997</v>
      </c>
      <c r="O62" s="186">
        <f t="shared" si="2"/>
        <v>163476.32454215136</v>
      </c>
      <c r="P62" s="186">
        <f t="shared" si="3"/>
        <v>50701.495720301209</v>
      </c>
      <c r="Q62" s="215">
        <f>IF(P62="-",0,P62/(1+'General inputs'!$H$30)^'MP Calculations'!$C$40)</f>
        <v>112622.67500946736</v>
      </c>
    </row>
    <row r="63" spans="3:17" x14ac:dyDescent="0.25">
      <c r="C63" s="159"/>
      <c r="D63" s="165" t="s">
        <v>285</v>
      </c>
      <c r="E63" s="162">
        <v>25934</v>
      </c>
      <c r="F63" s="166" t="str">
        <f t="shared" si="1"/>
        <v>Date check - OK</v>
      </c>
      <c r="G63" s="68"/>
      <c r="H63" s="162" t="s">
        <v>279</v>
      </c>
      <c r="I63" s="173">
        <v>89592.114709699614</v>
      </c>
      <c r="J63" s="168">
        <f>IFERROR(MIN('MP Calculations'!$E$30/I63,1),"-")</f>
        <v>0.31014580161562261</v>
      </c>
      <c r="K63" s="12"/>
      <c r="L63" s="159">
        <v>97.535962999999995</v>
      </c>
      <c r="M63" s="187" t="s">
        <v>408</v>
      </c>
      <c r="N63" s="187">
        <v>612.70164899999997</v>
      </c>
      <c r="O63" s="186">
        <f t="shared" si="2"/>
        <v>59760.445366902983</v>
      </c>
      <c r="P63" s="186">
        <f t="shared" si="3"/>
        <v>18534.451233224747</v>
      </c>
      <c r="Q63" s="215">
        <f>IF(P63="-",0,P63/(1+'General inputs'!$H$30)^'MP Calculations'!$C$40)</f>
        <v>41170.372748638343</v>
      </c>
    </row>
    <row r="64" spans="3:17" x14ac:dyDescent="0.25">
      <c r="C64" s="159"/>
      <c r="D64" s="165" t="s">
        <v>285</v>
      </c>
      <c r="E64" s="162">
        <v>25934</v>
      </c>
      <c r="F64" s="166" t="str">
        <f t="shared" si="1"/>
        <v>Date check - OK</v>
      </c>
      <c r="G64" s="68"/>
      <c r="H64" s="162" t="s">
        <v>279</v>
      </c>
      <c r="I64" s="173">
        <v>89592.114709699614</v>
      </c>
      <c r="J64" s="168">
        <f>IFERROR(MIN('MP Calculations'!$E$30/I64,1),"-")</f>
        <v>0.31014580161562261</v>
      </c>
      <c r="K64" s="12"/>
      <c r="L64" s="159">
        <v>15.655642</v>
      </c>
      <c r="M64" s="187" t="s">
        <v>408</v>
      </c>
      <c r="N64" s="187">
        <v>612.70164899999997</v>
      </c>
      <c r="O64" s="186">
        <f t="shared" si="2"/>
        <v>9592.2376695536586</v>
      </c>
      <c r="P64" s="186">
        <f t="shared" si="3"/>
        <v>2974.9922413112913</v>
      </c>
      <c r="Q64" s="215">
        <f>IF(P64="-",0,P64/(1+'General inputs'!$H$30)^'MP Calculations'!$C$40)</f>
        <v>6608.3175572812861</v>
      </c>
    </row>
    <row r="65" spans="3:17" x14ac:dyDescent="0.25">
      <c r="C65" s="159"/>
      <c r="D65" s="165" t="s">
        <v>285</v>
      </c>
      <c r="E65" s="162">
        <v>25934</v>
      </c>
      <c r="F65" s="166" t="str">
        <f t="shared" si="1"/>
        <v>Date check - OK</v>
      </c>
      <c r="G65" s="68"/>
      <c r="H65" s="162" t="s">
        <v>279</v>
      </c>
      <c r="I65" s="173">
        <v>89592.114709699614</v>
      </c>
      <c r="J65" s="168">
        <f>IFERROR(MIN('MP Calculations'!$E$30/I65,1),"-")</f>
        <v>0.31014580161562261</v>
      </c>
      <c r="K65" s="12"/>
      <c r="L65" s="159">
        <v>376.20255500000002</v>
      </c>
      <c r="M65" s="187" t="s">
        <v>408</v>
      </c>
      <c r="N65" s="187">
        <v>612.70164899999997</v>
      </c>
      <c r="O65" s="186">
        <f t="shared" si="2"/>
        <v>230499.9258065132</v>
      </c>
      <c r="P65" s="186">
        <f t="shared" si="3"/>
        <v>71488.584261602577</v>
      </c>
      <c r="Q65" s="215">
        <f>IF(P65="-",0,P65/(1+'General inputs'!$H$30)^'MP Calculations'!$C$40)</f>
        <v>158796.80624407346</v>
      </c>
    </row>
    <row r="66" spans="3:17" x14ac:dyDescent="0.25">
      <c r="C66" s="159"/>
      <c r="D66" s="165" t="s">
        <v>287</v>
      </c>
      <c r="E66" s="162">
        <v>26299</v>
      </c>
      <c r="F66" s="166" t="str">
        <f t="shared" si="1"/>
        <v>Date check - OK</v>
      </c>
      <c r="G66" s="68"/>
      <c r="H66" s="162" t="s">
        <v>279</v>
      </c>
      <c r="I66" s="173">
        <v>89592.114709699614</v>
      </c>
      <c r="J66" s="168">
        <f>IFERROR(MIN('MP Calculations'!$E$30/I66,1),"-")</f>
        <v>0.31014580161562261</v>
      </c>
      <c r="K66" s="12"/>
      <c r="L66" s="159">
        <v>23.811288999999999</v>
      </c>
      <c r="M66" s="187" t="s">
        <v>408</v>
      </c>
      <c r="N66" s="187">
        <v>833.55921999999998</v>
      </c>
      <c r="O66" s="186">
        <f t="shared" si="2"/>
        <v>19848.119486034579</v>
      </c>
      <c r="P66" s="186">
        <f t="shared" si="3"/>
        <v>6155.8109285588534</v>
      </c>
      <c r="Q66" s="215">
        <f>IF(P66="-",0,P66/(1+'General inputs'!$H$30)^'MP Calculations'!$C$40)</f>
        <v>13673.835135976391</v>
      </c>
    </row>
    <row r="67" spans="3:17" x14ac:dyDescent="0.25">
      <c r="C67" s="159"/>
      <c r="D67" s="165" t="s">
        <v>281</v>
      </c>
      <c r="E67" s="162">
        <v>26299</v>
      </c>
      <c r="F67" s="166" t="str">
        <f t="shared" si="1"/>
        <v>Date check - OK</v>
      </c>
      <c r="G67" s="68"/>
      <c r="H67" s="162" t="s">
        <v>279</v>
      </c>
      <c r="I67" s="173">
        <v>89592.114709699614</v>
      </c>
      <c r="J67" s="168">
        <f>IFERROR(MIN('MP Calculations'!$E$30/I67,1),"-")</f>
        <v>0.31014580161562261</v>
      </c>
      <c r="K67" s="12"/>
      <c r="L67" s="159">
        <v>13.747745999999999</v>
      </c>
      <c r="M67" s="187" t="s">
        <v>408</v>
      </c>
      <c r="N67" s="187">
        <v>657.22938499999998</v>
      </c>
      <c r="O67" s="186">
        <f t="shared" si="2"/>
        <v>9035.4226487162086</v>
      </c>
      <c r="P67" s="186">
        <f t="shared" si="3"/>
        <v>2802.2984003220404</v>
      </c>
      <c r="Q67" s="215">
        <f>IF(P67="-",0,P67/(1+'General inputs'!$H$30)^'MP Calculations'!$C$40)</f>
        <v>6224.7146269621826</v>
      </c>
    </row>
    <row r="68" spans="3:17" x14ac:dyDescent="0.25">
      <c r="C68" s="159"/>
      <c r="D68" s="165" t="s">
        <v>288</v>
      </c>
      <c r="E68" s="162">
        <v>26299</v>
      </c>
      <c r="F68" s="166" t="str">
        <f t="shared" si="1"/>
        <v>Date check - OK</v>
      </c>
      <c r="G68" s="68"/>
      <c r="H68" s="162" t="s">
        <v>279</v>
      </c>
      <c r="I68" s="173">
        <v>89592.114709699614</v>
      </c>
      <c r="J68" s="168">
        <f>IFERROR(MIN('MP Calculations'!$E$30/I68,1),"-")</f>
        <v>0.31014580161562261</v>
      </c>
      <c r="K68" s="12"/>
      <c r="L68" s="159">
        <v>33.122214</v>
      </c>
      <c r="M68" s="187" t="s">
        <v>408</v>
      </c>
      <c r="N68" s="187">
        <v>480.89954999999998</v>
      </c>
      <c r="O68" s="186">
        <f t="shared" si="2"/>
        <v>15928.4578076037</v>
      </c>
      <c r="P68" s="186">
        <f t="shared" si="3"/>
        <v>4940.1443152398724</v>
      </c>
      <c r="Q68" s="215">
        <f>IF(P68="-",0,P68/(1+'General inputs'!$H$30)^'MP Calculations'!$C$40)</f>
        <v>10973.488253372234</v>
      </c>
    </row>
    <row r="69" spans="3:17" x14ac:dyDescent="0.25">
      <c r="C69" s="159"/>
      <c r="D69" s="165" t="s">
        <v>281</v>
      </c>
      <c r="E69" s="162">
        <v>26299</v>
      </c>
      <c r="F69" s="166" t="str">
        <f t="shared" si="1"/>
        <v>Date check - OK</v>
      </c>
      <c r="G69" s="68"/>
      <c r="H69" s="162" t="s">
        <v>279</v>
      </c>
      <c r="I69" s="173">
        <v>89592.114709699614</v>
      </c>
      <c r="J69" s="168">
        <f>IFERROR(MIN('MP Calculations'!$E$30/I69,1),"-")</f>
        <v>0.31014580161562261</v>
      </c>
      <c r="K69" s="12"/>
      <c r="L69" s="159">
        <v>18.430199000000002</v>
      </c>
      <c r="M69" s="187" t="s">
        <v>408</v>
      </c>
      <c r="N69" s="187">
        <v>657.22938499999998</v>
      </c>
      <c r="O69" s="186">
        <f t="shared" si="2"/>
        <v>12112.868354197615</v>
      </c>
      <c r="P69" s="186">
        <f t="shared" si="3"/>
        <v>3756.7552655771265</v>
      </c>
      <c r="Q69" s="215">
        <f>IF(P69="-",0,P69/(1+'General inputs'!$H$30)^'MP Calculations'!$C$40)</f>
        <v>8344.8391680442601</v>
      </c>
    </row>
    <row r="70" spans="3:17" x14ac:dyDescent="0.25">
      <c r="C70" s="159"/>
      <c r="D70" s="165" t="s">
        <v>281</v>
      </c>
      <c r="E70" s="162">
        <v>26299</v>
      </c>
      <c r="F70" s="166" t="str">
        <f t="shared" si="1"/>
        <v>Date check - OK</v>
      </c>
      <c r="G70" s="68"/>
      <c r="H70" s="162" t="s">
        <v>279</v>
      </c>
      <c r="I70" s="173">
        <v>89592.114709699614</v>
      </c>
      <c r="J70" s="168">
        <f>IFERROR(MIN('MP Calculations'!$E$30/I70,1),"-")</f>
        <v>0.31014580161562261</v>
      </c>
      <c r="K70" s="12"/>
      <c r="L70" s="159">
        <v>7.8552150000000003</v>
      </c>
      <c r="M70" s="187" t="s">
        <v>408</v>
      </c>
      <c r="N70" s="187">
        <v>657.22938499999998</v>
      </c>
      <c r="O70" s="186">
        <f t="shared" si="2"/>
        <v>5162.6781234927748</v>
      </c>
      <c r="P70" s="186">
        <f t="shared" si="3"/>
        <v>1601.182945094105</v>
      </c>
      <c r="Q70" s="215">
        <f>IF(P70="-",0,P70/(1+'General inputs'!$H$30)^'MP Calculations'!$C$40)</f>
        <v>3556.6900718439774</v>
      </c>
    </row>
    <row r="71" spans="3:17" x14ac:dyDescent="0.25">
      <c r="C71" s="159"/>
      <c r="D71" s="165" t="s">
        <v>283</v>
      </c>
      <c r="E71" s="162">
        <v>26299</v>
      </c>
      <c r="F71" s="166" t="str">
        <f t="shared" si="1"/>
        <v>Date check - OK</v>
      </c>
      <c r="G71" s="68"/>
      <c r="H71" s="162" t="s">
        <v>279</v>
      </c>
      <c r="I71" s="173">
        <v>89592.114709699614</v>
      </c>
      <c r="J71" s="168">
        <f>IFERROR(MIN('MP Calculations'!$E$30/I71,1),"-")</f>
        <v>0.31014580161562261</v>
      </c>
      <c r="K71" s="12"/>
      <c r="L71" s="159">
        <v>17.548333</v>
      </c>
      <c r="M71" s="187" t="s">
        <v>408</v>
      </c>
      <c r="N71" s="187">
        <v>480.89954999999998</v>
      </c>
      <c r="O71" s="186">
        <f t="shared" si="2"/>
        <v>8438.9854429501502</v>
      </c>
      <c r="P71" s="186">
        <f t="shared" si="3"/>
        <v>2617.3159050263444</v>
      </c>
      <c r="Q71" s="215">
        <f>IF(P71="-",0,P71/(1+'General inputs'!$H$30)^'MP Calculations'!$C$40)</f>
        <v>5813.8150439389201</v>
      </c>
    </row>
    <row r="72" spans="3:17" x14ac:dyDescent="0.25">
      <c r="C72" s="159"/>
      <c r="D72" s="165" t="s">
        <v>283</v>
      </c>
      <c r="E72" s="162">
        <v>26299</v>
      </c>
      <c r="F72" s="166" t="str">
        <f t="shared" si="1"/>
        <v>Date check - OK</v>
      </c>
      <c r="G72" s="68"/>
      <c r="H72" s="162" t="s">
        <v>279</v>
      </c>
      <c r="I72" s="173">
        <v>89592.114709699614</v>
      </c>
      <c r="J72" s="168">
        <f>IFERROR(MIN('MP Calculations'!$E$30/I72,1),"-")</f>
        <v>0.31014580161562261</v>
      </c>
      <c r="K72" s="12"/>
      <c r="L72" s="159">
        <v>15.601426999999999</v>
      </c>
      <c r="M72" s="187" t="s">
        <v>408</v>
      </c>
      <c r="N72" s="187">
        <v>480.89954999999998</v>
      </c>
      <c r="O72" s="186">
        <f t="shared" si="2"/>
        <v>7502.7192236578494</v>
      </c>
      <c r="P72" s="186">
        <f t="shared" si="3"/>
        <v>2326.9368679183053</v>
      </c>
      <c r="Q72" s="215">
        <f>IF(P72="-",0,P72/(1+'General inputs'!$H$30)^'MP Calculations'!$C$40)</f>
        <v>5168.7992813627852</v>
      </c>
    </row>
    <row r="73" spans="3:17" x14ac:dyDescent="0.25">
      <c r="C73" s="159"/>
      <c r="D73" s="165" t="s">
        <v>283</v>
      </c>
      <c r="E73" s="162">
        <v>26299</v>
      </c>
      <c r="F73" s="166" t="str">
        <f t="shared" si="1"/>
        <v>Date check - OK</v>
      </c>
      <c r="G73" s="68"/>
      <c r="H73" s="162" t="s">
        <v>279</v>
      </c>
      <c r="I73" s="173">
        <v>89592.114709699614</v>
      </c>
      <c r="J73" s="168">
        <f>IFERROR(MIN('MP Calculations'!$E$30/I73,1),"-")</f>
        <v>0.31014580161562261</v>
      </c>
      <c r="K73" s="12"/>
      <c r="L73" s="159">
        <v>2.2267549999999998</v>
      </c>
      <c r="M73" s="187" t="s">
        <v>408</v>
      </c>
      <c r="N73" s="187">
        <v>480.89954999999998</v>
      </c>
      <c r="O73" s="186">
        <f t="shared" si="2"/>
        <v>1070.8454774602499</v>
      </c>
      <c r="P73" s="186">
        <f t="shared" si="3"/>
        <v>332.11822901337331</v>
      </c>
      <c r="Q73" s="215">
        <f>IF(P73="-",0,P73/(1+'General inputs'!$H$30)^'MP Calculations'!$C$40)</f>
        <v>737.73057065683713</v>
      </c>
    </row>
    <row r="74" spans="3:17" x14ac:dyDescent="0.25">
      <c r="C74" s="159"/>
      <c r="D74" s="165" t="s">
        <v>283</v>
      </c>
      <c r="E74" s="162">
        <v>26299</v>
      </c>
      <c r="F74" s="166" t="str">
        <f t="shared" si="1"/>
        <v>Date check - OK</v>
      </c>
      <c r="G74" s="68"/>
      <c r="H74" s="162" t="s">
        <v>279</v>
      </c>
      <c r="I74" s="173">
        <v>89592.114709699614</v>
      </c>
      <c r="J74" s="168">
        <f>IFERROR(MIN('MP Calculations'!$E$30/I74,1),"-")</f>
        <v>0.31014580161562261</v>
      </c>
      <c r="K74" s="12"/>
      <c r="L74" s="159">
        <v>22.993207999999999</v>
      </c>
      <c r="M74" s="187" t="s">
        <v>408</v>
      </c>
      <c r="N74" s="187">
        <v>480.89954999999998</v>
      </c>
      <c r="O74" s="186">
        <f t="shared" si="2"/>
        <v>11057.423380256399</v>
      </c>
      <c r="P74" s="186">
        <f t="shared" si="3"/>
        <v>3429.4134380729483</v>
      </c>
      <c r="Q74" s="215">
        <f>IF(P74="-",0,P74/(1+'General inputs'!$H$30)^'MP Calculations'!$C$40)</f>
        <v>7617.7183655459876</v>
      </c>
    </row>
    <row r="75" spans="3:17" x14ac:dyDescent="0.25">
      <c r="C75" s="159"/>
      <c r="D75" s="165" t="s">
        <v>284</v>
      </c>
      <c r="E75" s="162">
        <v>26299</v>
      </c>
      <c r="F75" s="166" t="str">
        <f t="shared" si="1"/>
        <v>Date check - OK</v>
      </c>
      <c r="G75" s="68"/>
      <c r="H75" s="162" t="s">
        <v>279</v>
      </c>
      <c r="I75" s="173">
        <v>89592.114709699614</v>
      </c>
      <c r="J75" s="168">
        <f>IFERROR(MIN('MP Calculations'!$E$30/I75,1),"-")</f>
        <v>0.31014580161562261</v>
      </c>
      <c r="K75" s="12"/>
      <c r="L75" s="159">
        <v>21.408854000000002</v>
      </c>
      <c r="M75" s="187" t="s">
        <v>408</v>
      </c>
      <c r="N75" s="187">
        <v>304.56971499999997</v>
      </c>
      <c r="O75" s="186">
        <f t="shared" si="2"/>
        <v>6520.4885612566095</v>
      </c>
      <c r="P75" s="186">
        <f t="shared" si="3"/>
        <v>2022.3021517564289</v>
      </c>
      <c r="Q75" s="215">
        <f>IF(P75="-",0,P75/(1+'General inputs'!$H$30)^'MP Calculations'!$C$40)</f>
        <v>4492.1175356374233</v>
      </c>
    </row>
    <row r="76" spans="3:17" x14ac:dyDescent="0.25">
      <c r="C76" s="159"/>
      <c r="D76" s="165" t="s">
        <v>289</v>
      </c>
      <c r="E76" s="162">
        <v>26480</v>
      </c>
      <c r="F76" s="166" t="str">
        <f t="shared" si="1"/>
        <v>Date check - OK</v>
      </c>
      <c r="G76" s="68"/>
      <c r="H76" s="162" t="s">
        <v>279</v>
      </c>
      <c r="I76" s="173">
        <v>89592.114709699614</v>
      </c>
      <c r="J76" s="168">
        <f>IFERROR(MIN('MP Calculations'!$E$30/I76,1),"-")</f>
        <v>0.31014580161562261</v>
      </c>
      <c r="K76" s="12"/>
      <c r="L76" s="159">
        <v>1</v>
      </c>
      <c r="M76" s="187" t="s">
        <v>409</v>
      </c>
      <c r="N76" s="187">
        <v>169091.88305999999</v>
      </c>
      <c r="O76" s="186">
        <f t="shared" si="2"/>
        <v>169091.88305999999</v>
      </c>
      <c r="P76" s="186">
        <f t="shared" si="3"/>
        <v>52443.137618338813</v>
      </c>
      <c r="Q76" s="215">
        <f>IF(P76="-",0,P76/(1+'General inputs'!$H$30)^'MP Calculations'!$C$40)</f>
        <v>116491.36500921864</v>
      </c>
    </row>
    <row r="77" spans="3:17" x14ac:dyDescent="0.25">
      <c r="C77" s="159"/>
      <c r="D77" s="165" t="s">
        <v>290</v>
      </c>
      <c r="E77" s="162">
        <v>26480</v>
      </c>
      <c r="F77" s="166" t="str">
        <f t="shared" si="1"/>
        <v>Date check - OK</v>
      </c>
      <c r="G77" s="68"/>
      <c r="H77" s="162" t="s">
        <v>279</v>
      </c>
      <c r="I77" s="173">
        <v>89592.114709699614</v>
      </c>
      <c r="J77" s="168">
        <f>IFERROR(MIN('MP Calculations'!$E$30/I77,1),"-")</f>
        <v>0.31014580161562261</v>
      </c>
      <c r="K77" s="12"/>
      <c r="L77" s="159">
        <v>1</v>
      </c>
      <c r="M77" s="187" t="s">
        <v>409</v>
      </c>
      <c r="N77" s="187">
        <v>46602.959677999999</v>
      </c>
      <c r="O77" s="186">
        <f t="shared" si="2"/>
        <v>46602.959677999999</v>
      </c>
      <c r="P77" s="186">
        <f t="shared" si="3"/>
        <v>14453.712286993847</v>
      </c>
      <c r="Q77" s="215">
        <f>IF(P77="-",0,P77/(1+'General inputs'!$H$30)^'MP Calculations'!$C$40)</f>
        <v>32105.872192773699</v>
      </c>
    </row>
    <row r="78" spans="3:17" x14ac:dyDescent="0.25">
      <c r="C78" s="159"/>
      <c r="D78" s="165" t="s">
        <v>291</v>
      </c>
      <c r="E78" s="162">
        <v>26480</v>
      </c>
      <c r="F78" s="166" t="str">
        <f t="shared" si="1"/>
        <v>Date check - OK</v>
      </c>
      <c r="G78" s="68"/>
      <c r="H78" s="162" t="s">
        <v>279</v>
      </c>
      <c r="I78" s="173">
        <v>89592.114709699614</v>
      </c>
      <c r="J78" s="168">
        <f>IFERROR(MIN('MP Calculations'!$E$30/I78,1),"-")</f>
        <v>0.31014580161562261</v>
      </c>
      <c r="K78" s="12"/>
      <c r="L78" s="159">
        <v>1</v>
      </c>
      <c r="M78" s="187" t="s">
        <v>409</v>
      </c>
      <c r="N78" s="187">
        <v>21508.269584000001</v>
      </c>
      <c r="O78" s="186">
        <f t="shared" si="2"/>
        <v>21508.269584000001</v>
      </c>
      <c r="P78" s="186">
        <f t="shared" si="3"/>
        <v>6670.6995114945939</v>
      </c>
      <c r="Q78" s="215">
        <f>IF(P78="-",0,P78/(1+'General inputs'!$H$30)^'MP Calculations'!$C$40)</f>
        <v>14817.551484345149</v>
      </c>
    </row>
    <row r="79" spans="3:17" x14ac:dyDescent="0.25">
      <c r="C79" s="159"/>
      <c r="D79" s="165" t="s">
        <v>292</v>
      </c>
      <c r="E79" s="162">
        <v>26562</v>
      </c>
      <c r="F79" s="166" t="str">
        <f t="shared" si="1"/>
        <v>Date check - OK</v>
      </c>
      <c r="G79" s="68"/>
      <c r="H79" s="162" t="s">
        <v>279</v>
      </c>
      <c r="I79" s="173">
        <v>89592.114709699614</v>
      </c>
      <c r="J79" s="168">
        <f>IFERROR(MIN('MP Calculations'!$E$30/I79,1),"-")</f>
        <v>0.31014580161562261</v>
      </c>
      <c r="K79" s="12"/>
      <c r="L79" s="159">
        <v>2.6146889999999998</v>
      </c>
      <c r="M79" s="187" t="s">
        <v>408</v>
      </c>
      <c r="N79" s="187">
        <v>356.22188899999998</v>
      </c>
      <c r="O79" s="186">
        <f t="shared" si="2"/>
        <v>931.40945472752082</v>
      </c>
      <c r="P79" s="186">
        <f t="shared" si="3"/>
        <v>288.87273196883689</v>
      </c>
      <c r="Q79" s="215">
        <f>IF(P79="-",0,P79/(1+'General inputs'!$H$30)^'MP Calculations'!$C$40)</f>
        <v>641.66982353139178</v>
      </c>
    </row>
    <row r="80" spans="3:17" x14ac:dyDescent="0.25">
      <c r="C80" s="159"/>
      <c r="D80" s="165" t="s">
        <v>292</v>
      </c>
      <c r="E80" s="162">
        <v>26562</v>
      </c>
      <c r="F80" s="166" t="str">
        <f t="shared" si="1"/>
        <v>Date check - OK</v>
      </c>
      <c r="G80" s="68"/>
      <c r="H80" s="162" t="s">
        <v>279</v>
      </c>
      <c r="I80" s="173">
        <v>89592.114709699614</v>
      </c>
      <c r="J80" s="168">
        <f>IFERROR(MIN('MP Calculations'!$E$30/I80,1),"-")</f>
        <v>0.31014580161562261</v>
      </c>
      <c r="K80" s="12"/>
      <c r="L80" s="159">
        <v>2.7335479999999999</v>
      </c>
      <c r="M80" s="187" t="s">
        <v>408</v>
      </c>
      <c r="N80" s="187">
        <v>356.22188899999998</v>
      </c>
      <c r="O80" s="186">
        <f t="shared" si="2"/>
        <v>973.74963223217185</v>
      </c>
      <c r="P80" s="186">
        <f t="shared" si="3"/>
        <v>302.00436026156467</v>
      </c>
      <c r="Q80" s="215">
        <f>IF(P80="-",0,P80/(1+'General inputs'!$H$30)^'MP Calculations'!$C$40)</f>
        <v>670.838965083262</v>
      </c>
    </row>
    <row r="81" spans="3:17" x14ac:dyDescent="0.25">
      <c r="C81" s="159"/>
      <c r="D81" s="165" t="s">
        <v>285</v>
      </c>
      <c r="E81" s="162">
        <v>26562</v>
      </c>
      <c r="F81" s="166" t="str">
        <f t="shared" si="1"/>
        <v>Date check - OK</v>
      </c>
      <c r="G81" s="68"/>
      <c r="H81" s="162" t="s">
        <v>279</v>
      </c>
      <c r="I81" s="173">
        <v>89592.114709699614</v>
      </c>
      <c r="J81" s="168">
        <f>IFERROR(MIN('MP Calculations'!$E$30/I81,1),"-")</f>
        <v>0.31014580161562261</v>
      </c>
      <c r="K81" s="12"/>
      <c r="L81" s="159">
        <v>374.99616800000001</v>
      </c>
      <c r="M81" s="187" t="s">
        <v>408</v>
      </c>
      <c r="N81" s="187">
        <v>612.70164899999997</v>
      </c>
      <c r="O81" s="186">
        <f t="shared" si="2"/>
        <v>229760.77050228103</v>
      </c>
      <c r="P81" s="186">
        <f t="shared" si="3"/>
        <v>71259.33834725304</v>
      </c>
      <c r="Q81" s="215">
        <f>IF(P81="-",0,P81/(1+'General inputs'!$H$30)^'MP Calculations'!$C$40)</f>
        <v>158287.58481495696</v>
      </c>
    </row>
    <row r="82" spans="3:17" x14ac:dyDescent="0.25">
      <c r="C82" s="159"/>
      <c r="D82" s="165" t="s">
        <v>285</v>
      </c>
      <c r="E82" s="162">
        <v>26562</v>
      </c>
      <c r="F82" s="166" t="str">
        <f t="shared" si="1"/>
        <v>Date check - OK</v>
      </c>
      <c r="G82" s="68"/>
      <c r="H82" s="162" t="s">
        <v>279</v>
      </c>
      <c r="I82" s="173">
        <v>89592.114709699614</v>
      </c>
      <c r="J82" s="168">
        <f>IFERROR(MIN('MP Calculations'!$E$30/I82,1),"-")</f>
        <v>0.31014580161562261</v>
      </c>
      <c r="K82" s="12"/>
      <c r="L82" s="159">
        <v>73.074884999999995</v>
      </c>
      <c r="M82" s="187" t="s">
        <v>408</v>
      </c>
      <c r="N82" s="187">
        <v>612.70164899999997</v>
      </c>
      <c r="O82" s="186">
        <f t="shared" si="2"/>
        <v>44773.102539985361</v>
      </c>
      <c r="P82" s="186">
        <f t="shared" si="3"/>
        <v>13886.189778082229</v>
      </c>
      <c r="Q82" s="215">
        <f>IF(P82="-",0,P82/(1+'General inputs'!$H$30)^'MP Calculations'!$C$40)</f>
        <v>30845.240683314732</v>
      </c>
    </row>
    <row r="83" spans="3:17" x14ac:dyDescent="0.25">
      <c r="C83" s="159"/>
      <c r="D83" s="165" t="s">
        <v>285</v>
      </c>
      <c r="E83" s="162">
        <v>26562</v>
      </c>
      <c r="F83" s="166" t="str">
        <f t="shared" si="1"/>
        <v>Date check - OK</v>
      </c>
      <c r="G83" s="68"/>
      <c r="H83" s="162" t="s">
        <v>279</v>
      </c>
      <c r="I83" s="173">
        <v>89592.114709699614</v>
      </c>
      <c r="J83" s="168">
        <f>IFERROR(MIN('MP Calculations'!$E$30/I83,1),"-")</f>
        <v>0.31014580161562261</v>
      </c>
      <c r="K83" s="12"/>
      <c r="L83" s="159">
        <v>66.656148000000002</v>
      </c>
      <c r="M83" s="187" t="s">
        <v>408</v>
      </c>
      <c r="N83" s="187">
        <v>612.70164899999997</v>
      </c>
      <c r="O83" s="186">
        <f t="shared" si="2"/>
        <v>40840.331795588048</v>
      </c>
      <c r="P83" s="186">
        <f t="shared" si="3"/>
        <v>12666.457442990655</v>
      </c>
      <c r="Q83" s="215">
        <f>IF(P83="-",0,P83/(1+'General inputs'!$H$30)^'MP Calculations'!$C$40)</f>
        <v>28135.862657637408</v>
      </c>
    </row>
    <row r="84" spans="3:17" x14ac:dyDescent="0.25">
      <c r="C84" s="159"/>
      <c r="D84" s="165" t="s">
        <v>283</v>
      </c>
      <c r="E84" s="162">
        <v>26665</v>
      </c>
      <c r="F84" s="166" t="str">
        <f t="shared" si="1"/>
        <v>Date check - OK</v>
      </c>
      <c r="G84" s="68"/>
      <c r="H84" s="162" t="s">
        <v>279</v>
      </c>
      <c r="I84" s="173">
        <v>89592.114709699614</v>
      </c>
      <c r="J84" s="168">
        <f>IFERROR(MIN('MP Calculations'!$E$30/I84,1),"-")</f>
        <v>0.31014580161562261</v>
      </c>
      <c r="K84" s="12"/>
      <c r="L84" s="159">
        <v>16.226662000000001</v>
      </c>
      <c r="M84" s="187" t="s">
        <v>408</v>
      </c>
      <c r="N84" s="187">
        <v>480.89954999999998</v>
      </c>
      <c r="O84" s="186">
        <f t="shared" si="2"/>
        <v>7803.3944538021005</v>
      </c>
      <c r="P84" s="186">
        <f t="shared" si="3"/>
        <v>2420.1900281973558</v>
      </c>
      <c r="Q84" s="215">
        <f>IF(P84="-",0,P84/(1+'General inputs'!$H$30)^'MP Calculations'!$C$40)</f>
        <v>5375.9415010253115</v>
      </c>
    </row>
    <row r="85" spans="3:17" x14ac:dyDescent="0.25">
      <c r="C85" s="159"/>
      <c r="D85" s="165" t="s">
        <v>282</v>
      </c>
      <c r="E85" s="162">
        <v>26665</v>
      </c>
      <c r="F85" s="166" t="str">
        <f t="shared" si="1"/>
        <v>Date check - OK</v>
      </c>
      <c r="G85" s="68"/>
      <c r="H85" s="162" t="s">
        <v>279</v>
      </c>
      <c r="I85" s="173">
        <v>89592.114709699614</v>
      </c>
      <c r="J85" s="168">
        <f>IFERROR(MIN('MP Calculations'!$E$30/I85,1),"-")</f>
        <v>0.31014580161562261</v>
      </c>
      <c r="K85" s="12"/>
      <c r="L85" s="159">
        <v>108.766243</v>
      </c>
      <c r="M85" s="187" t="s">
        <v>408</v>
      </c>
      <c r="N85" s="187">
        <v>1009.889055</v>
      </c>
      <c r="O85" s="186">
        <f t="shared" si="2"/>
        <v>109841.83835917036</v>
      </c>
      <c r="P85" s="186">
        <f t="shared" si="3"/>
        <v>34066.985008838536</v>
      </c>
      <c r="Q85" s="215">
        <f>IF(P85="-",0,P85/(1+'General inputs'!$H$30)^'MP Calculations'!$C$40)</f>
        <v>75672.619253056342</v>
      </c>
    </row>
    <row r="86" spans="3:17" x14ac:dyDescent="0.25">
      <c r="C86" s="159"/>
      <c r="D86" s="165" t="s">
        <v>282</v>
      </c>
      <c r="E86" s="162">
        <v>26665</v>
      </c>
      <c r="F86" s="166" t="str">
        <f t="shared" si="1"/>
        <v>Date check - OK</v>
      </c>
      <c r="G86" s="68"/>
      <c r="H86" s="162" t="s">
        <v>279</v>
      </c>
      <c r="I86" s="173">
        <v>89592.114709699614</v>
      </c>
      <c r="J86" s="168">
        <f>IFERROR(MIN('MP Calculations'!$E$30/I86,1),"-")</f>
        <v>0.31014580161562261</v>
      </c>
      <c r="K86" s="12"/>
      <c r="L86" s="159">
        <v>12.145199</v>
      </c>
      <c r="M86" s="187" t="s">
        <v>408</v>
      </c>
      <c r="N86" s="187">
        <v>1009.889055</v>
      </c>
      <c r="O86" s="186">
        <f t="shared" si="2"/>
        <v>12265.303540896944</v>
      </c>
      <c r="P86" s="186">
        <f t="shared" si="3"/>
        <v>3804.0323987504171</v>
      </c>
      <c r="Q86" s="215">
        <f>IF(P86="-",0,P86/(1+'General inputs'!$H$30)^'MP Calculations'!$C$40)</f>
        <v>8449.8553441769673</v>
      </c>
    </row>
    <row r="87" spans="3:17" x14ac:dyDescent="0.25">
      <c r="C87" s="159"/>
      <c r="D87" s="165" t="s">
        <v>282</v>
      </c>
      <c r="E87" s="162">
        <v>26665</v>
      </c>
      <c r="F87" s="166" t="str">
        <f t="shared" ref="F87:F150" si="4">IF(E87="","-",IF(OR(E87&lt;$E$15,E87&gt;$E$16),"ERROR - date outside of range","Date check - OK"))</f>
        <v>Date check - OK</v>
      </c>
      <c r="G87" s="68"/>
      <c r="H87" s="162" t="s">
        <v>279</v>
      </c>
      <c r="I87" s="173">
        <v>89592.114709699614</v>
      </c>
      <c r="J87" s="168">
        <f>IFERROR(MIN('MP Calculations'!$E$30/I87,1),"-")</f>
        <v>0.31014580161562261</v>
      </c>
      <c r="K87" s="12"/>
      <c r="L87" s="159">
        <v>92.734823000000006</v>
      </c>
      <c r="M87" s="187" t="s">
        <v>408</v>
      </c>
      <c r="N87" s="187">
        <v>1009.889055</v>
      </c>
      <c r="O87" s="186">
        <f t="shared" ref="O87:O150" si="5">IF(N87="","-",L87*N87)</f>
        <v>93651.88276506227</v>
      </c>
      <c r="P87" s="186">
        <f t="shared" ref="P87:P150" si="6">IF(O87="-","-",IF(OR(E87&lt;$E$15,E87&gt;$E$16),0,O87*J87))</f>
        <v>29045.738252982548</v>
      </c>
      <c r="Q87" s="215">
        <f>IF(P87="-",0,P87/(1+'General inputs'!$H$30)^'MP Calculations'!$C$40)</f>
        <v>64518.979040018632</v>
      </c>
    </row>
    <row r="88" spans="3:17" x14ac:dyDescent="0.25">
      <c r="C88" s="159"/>
      <c r="D88" s="165" t="s">
        <v>281</v>
      </c>
      <c r="E88" s="162">
        <v>26665</v>
      </c>
      <c r="F88" s="166" t="str">
        <f t="shared" si="4"/>
        <v>Date check - OK</v>
      </c>
      <c r="G88" s="68"/>
      <c r="H88" s="162" t="s">
        <v>279</v>
      </c>
      <c r="I88" s="173">
        <v>89592.114709699614</v>
      </c>
      <c r="J88" s="168">
        <f>IFERROR(MIN('MP Calculations'!$E$30/I88,1),"-")</f>
        <v>0.31014580161562261</v>
      </c>
      <c r="K88" s="12"/>
      <c r="L88" s="159">
        <v>10.551622999999999</v>
      </c>
      <c r="M88" s="187" t="s">
        <v>408</v>
      </c>
      <c r="N88" s="187">
        <v>657.22938499999998</v>
      </c>
      <c r="O88" s="186">
        <f t="shared" si="5"/>
        <v>6934.836695041854</v>
      </c>
      <c r="P88" s="186">
        <f t="shared" si="6"/>
        <v>2150.810485857191</v>
      </c>
      <c r="Q88" s="215">
        <f>IF(P88="-",0,P88/(1+'General inputs'!$H$30)^'MP Calculations'!$C$40)</f>
        <v>4777.5716852995829</v>
      </c>
    </row>
    <row r="89" spans="3:17" x14ac:dyDescent="0.25">
      <c r="C89" s="159"/>
      <c r="D89" s="165" t="s">
        <v>282</v>
      </c>
      <c r="E89" s="162">
        <v>26665</v>
      </c>
      <c r="F89" s="166" t="str">
        <f t="shared" si="4"/>
        <v>Date check - OK</v>
      </c>
      <c r="G89" s="68"/>
      <c r="H89" s="162" t="s">
        <v>279</v>
      </c>
      <c r="I89" s="173">
        <v>89592.114709699614</v>
      </c>
      <c r="J89" s="168">
        <f>IFERROR(MIN('MP Calculations'!$E$30/I89,1),"-")</f>
        <v>0.31014580161562261</v>
      </c>
      <c r="K89" s="12"/>
      <c r="L89" s="159">
        <v>79.337889000000004</v>
      </c>
      <c r="M89" s="187" t="s">
        <v>408</v>
      </c>
      <c r="N89" s="187">
        <v>1009.889055</v>
      </c>
      <c r="O89" s="186">
        <f t="shared" si="5"/>
        <v>80122.465747904891</v>
      </c>
      <c r="P89" s="186">
        <f t="shared" si="6"/>
        <v>24849.646366804227</v>
      </c>
      <c r="Q89" s="215">
        <f>IF(P89="-",0,P89/(1+'General inputs'!$H$30)^'MP Calculations'!$C$40)</f>
        <v>55198.246266888593</v>
      </c>
    </row>
    <row r="90" spans="3:17" x14ac:dyDescent="0.25">
      <c r="C90" s="159"/>
      <c r="D90" s="165" t="s">
        <v>281</v>
      </c>
      <c r="E90" s="162">
        <v>26665</v>
      </c>
      <c r="F90" s="166" t="str">
        <f t="shared" si="4"/>
        <v>Date check - OK</v>
      </c>
      <c r="G90" s="68"/>
      <c r="H90" s="162" t="s">
        <v>279</v>
      </c>
      <c r="I90" s="173">
        <v>89592.114709699614</v>
      </c>
      <c r="J90" s="168">
        <f>IFERROR(MIN('MP Calculations'!$E$30/I90,1),"-")</f>
        <v>0.31014580161562261</v>
      </c>
      <c r="K90" s="12"/>
      <c r="L90" s="159">
        <v>6.3841260000000002</v>
      </c>
      <c r="M90" s="187" t="s">
        <v>408</v>
      </c>
      <c r="N90" s="187">
        <v>657.22938499999998</v>
      </c>
      <c r="O90" s="186">
        <f t="shared" si="5"/>
        <v>4195.8352047425096</v>
      </c>
      <c r="P90" s="186">
        <f t="shared" si="6"/>
        <v>1301.3206730219156</v>
      </c>
      <c r="Q90" s="215">
        <f>IF(P90="-",0,P90/(1+'General inputs'!$H$30)^'MP Calculations'!$C$40)</f>
        <v>2890.6093037047362</v>
      </c>
    </row>
    <row r="91" spans="3:17" x14ac:dyDescent="0.25">
      <c r="C91" s="159"/>
      <c r="D91" s="165" t="s">
        <v>282</v>
      </c>
      <c r="E91" s="162">
        <v>26665</v>
      </c>
      <c r="F91" s="166" t="str">
        <f t="shared" si="4"/>
        <v>Date check - OK</v>
      </c>
      <c r="G91" s="68"/>
      <c r="H91" s="162" t="s">
        <v>279</v>
      </c>
      <c r="I91" s="173">
        <v>89592.114709699614</v>
      </c>
      <c r="J91" s="168">
        <f>IFERROR(MIN('MP Calculations'!$E$30/I91,1),"-")</f>
        <v>0.31014580161562261</v>
      </c>
      <c r="K91" s="12"/>
      <c r="L91" s="159">
        <v>5.5892150000000003</v>
      </c>
      <c r="M91" s="187" t="s">
        <v>408</v>
      </c>
      <c r="N91" s="187">
        <v>1009.889055</v>
      </c>
      <c r="O91" s="186">
        <f t="shared" si="5"/>
        <v>5644.4870545418253</v>
      </c>
      <c r="P91" s="186">
        <f t="shared" si="6"/>
        <v>1750.6139622398789</v>
      </c>
      <c r="Q91" s="215">
        <f>IF(P91="-",0,P91/(1+'General inputs'!$H$30)^'MP Calculations'!$C$40)</f>
        <v>3888.6195473210505</v>
      </c>
    </row>
    <row r="92" spans="3:17" x14ac:dyDescent="0.25">
      <c r="C92" s="159"/>
      <c r="D92" s="165" t="s">
        <v>281</v>
      </c>
      <c r="E92" s="162">
        <v>26665</v>
      </c>
      <c r="F92" s="166" t="str">
        <f t="shared" si="4"/>
        <v>Date check - OK</v>
      </c>
      <c r="G92" s="68"/>
      <c r="H92" s="162" t="s">
        <v>279</v>
      </c>
      <c r="I92" s="173">
        <v>89592.114709699614</v>
      </c>
      <c r="J92" s="168">
        <f>IFERROR(MIN('MP Calculations'!$E$30/I92,1),"-")</f>
        <v>0.31014580161562261</v>
      </c>
      <c r="K92" s="12"/>
      <c r="L92" s="159">
        <v>11.77814</v>
      </c>
      <c r="M92" s="187" t="s">
        <v>408</v>
      </c>
      <c r="N92" s="187">
        <v>657.22938499999998</v>
      </c>
      <c r="O92" s="186">
        <f t="shared" si="5"/>
        <v>7740.9397086439003</v>
      </c>
      <c r="P92" s="186">
        <f t="shared" si="6"/>
        <v>2400.8199511955668</v>
      </c>
      <c r="Q92" s="215">
        <f>IF(P92="-",0,P92/(1+'General inputs'!$H$30)^'MP Calculations'!$C$40)</f>
        <v>5332.9149619441896</v>
      </c>
    </row>
    <row r="93" spans="3:17" x14ac:dyDescent="0.25">
      <c r="C93" s="159"/>
      <c r="D93" s="165" t="s">
        <v>282</v>
      </c>
      <c r="E93" s="162">
        <v>26665</v>
      </c>
      <c r="F93" s="166" t="str">
        <f t="shared" si="4"/>
        <v>Date check - OK</v>
      </c>
      <c r="G93" s="68"/>
      <c r="H93" s="162" t="s">
        <v>279</v>
      </c>
      <c r="I93" s="173">
        <v>89592.114709699614</v>
      </c>
      <c r="J93" s="168">
        <f>IFERROR(MIN('MP Calculations'!$E$30/I93,1),"-")</f>
        <v>0.31014580161562261</v>
      </c>
      <c r="K93" s="12"/>
      <c r="L93" s="159">
        <v>9.2271439999999991</v>
      </c>
      <c r="M93" s="187" t="s">
        <v>408</v>
      </c>
      <c r="N93" s="187">
        <v>1009.889055</v>
      </c>
      <c r="O93" s="186">
        <f t="shared" si="5"/>
        <v>9318.3917345089194</v>
      </c>
      <c r="P93" s="186">
        <f t="shared" si="6"/>
        <v>2890.0600742676606</v>
      </c>
      <c r="Q93" s="215">
        <f>IF(P93="-",0,P93/(1+'General inputs'!$H$30)^'MP Calculations'!$C$40)</f>
        <v>6419.6586684080221</v>
      </c>
    </row>
    <row r="94" spans="3:17" x14ac:dyDescent="0.25">
      <c r="C94" s="159"/>
      <c r="D94" s="165" t="s">
        <v>281</v>
      </c>
      <c r="E94" s="162">
        <v>26665</v>
      </c>
      <c r="F94" s="166" t="str">
        <f t="shared" si="4"/>
        <v>Date check - OK</v>
      </c>
      <c r="G94" s="68"/>
      <c r="H94" s="162" t="s">
        <v>279</v>
      </c>
      <c r="I94" s="173">
        <v>89592.114709699614</v>
      </c>
      <c r="J94" s="168">
        <f>IFERROR(MIN('MP Calculations'!$E$30/I94,1),"-")</f>
        <v>0.31014580161562261</v>
      </c>
      <c r="K94" s="12"/>
      <c r="L94" s="159">
        <v>12.464117</v>
      </c>
      <c r="M94" s="187" t="s">
        <v>408</v>
      </c>
      <c r="N94" s="187">
        <v>657.22938499999998</v>
      </c>
      <c r="O94" s="186">
        <f t="shared" si="5"/>
        <v>8191.783950478045</v>
      </c>
      <c r="P94" s="186">
        <f t="shared" si="6"/>
        <v>2540.647399983005</v>
      </c>
      <c r="Q94" s="215">
        <f>IF(P94="-",0,P94/(1+'General inputs'!$H$30)^'MP Calculations'!$C$40)</f>
        <v>5643.5121366126505</v>
      </c>
    </row>
    <row r="95" spans="3:17" x14ac:dyDescent="0.25">
      <c r="C95" s="159"/>
      <c r="D95" s="165" t="s">
        <v>293</v>
      </c>
      <c r="E95" s="162">
        <v>26665</v>
      </c>
      <c r="F95" s="166" t="str">
        <f t="shared" si="4"/>
        <v>Date check - OK</v>
      </c>
      <c r="G95" s="68"/>
      <c r="H95" s="162" t="s">
        <v>279</v>
      </c>
      <c r="I95" s="173">
        <v>89592.114709699614</v>
      </c>
      <c r="J95" s="168">
        <f>IFERROR(MIN('MP Calculations'!$E$30/I95,1),"-")</f>
        <v>0.31014580161562261</v>
      </c>
      <c r="K95" s="12"/>
      <c r="L95" s="159">
        <v>64.990048999999999</v>
      </c>
      <c r="M95" s="187" t="s">
        <v>408</v>
      </c>
      <c r="N95" s="187">
        <v>1009.889055</v>
      </c>
      <c r="O95" s="186">
        <f t="shared" si="5"/>
        <v>65632.739169013686</v>
      </c>
      <c r="P95" s="186">
        <f t="shared" si="6"/>
        <v>20355.718501802821</v>
      </c>
      <c r="Q95" s="215">
        <f>IF(P95="-",0,P95/(1+'General inputs'!$H$30)^'MP Calculations'!$C$40)</f>
        <v>45215.933708535602</v>
      </c>
    </row>
    <row r="96" spans="3:17" x14ac:dyDescent="0.25">
      <c r="C96" s="159"/>
      <c r="D96" s="165" t="s">
        <v>293</v>
      </c>
      <c r="E96" s="162">
        <v>26665</v>
      </c>
      <c r="F96" s="166" t="str">
        <f t="shared" si="4"/>
        <v>Date check - OK</v>
      </c>
      <c r="G96" s="68"/>
      <c r="H96" s="162" t="s">
        <v>279</v>
      </c>
      <c r="I96" s="173">
        <v>89592.114709699614</v>
      </c>
      <c r="J96" s="168">
        <f>IFERROR(MIN('MP Calculations'!$E$30/I96,1),"-")</f>
        <v>0.31014580161562261</v>
      </c>
      <c r="K96" s="12"/>
      <c r="L96" s="159">
        <v>34.748787999999998</v>
      </c>
      <c r="M96" s="187" t="s">
        <v>408</v>
      </c>
      <c r="N96" s="187">
        <v>1009.889055</v>
      </c>
      <c r="O96" s="186">
        <f t="shared" si="5"/>
        <v>35092.420675715337</v>
      </c>
      <c r="P96" s="186">
        <f t="shared" si="6"/>
        <v>10883.766941102382</v>
      </c>
      <c r="Q96" s="215">
        <f>IF(P96="-",0,P96/(1+'General inputs'!$H$30)^'MP Calculations'!$C$40)</f>
        <v>24175.991845458644</v>
      </c>
    </row>
    <row r="97" spans="3:17" x14ac:dyDescent="0.25">
      <c r="C97" s="159"/>
      <c r="D97" s="165" t="s">
        <v>294</v>
      </c>
      <c r="E97" s="162">
        <v>26665</v>
      </c>
      <c r="F97" s="166" t="str">
        <f t="shared" si="4"/>
        <v>Date check - OK</v>
      </c>
      <c r="G97" s="68"/>
      <c r="H97" s="162" t="s">
        <v>279</v>
      </c>
      <c r="I97" s="173">
        <v>89592.114709699614</v>
      </c>
      <c r="J97" s="168">
        <f>IFERROR(MIN('MP Calculations'!$E$30/I97,1),"-")</f>
        <v>0.31014580161562261</v>
      </c>
      <c r="K97" s="12"/>
      <c r="L97" s="159">
        <v>5.6750939999999996</v>
      </c>
      <c r="M97" s="187" t="s">
        <v>408</v>
      </c>
      <c r="N97" s="187">
        <v>1186.218891</v>
      </c>
      <c r="O97" s="186">
        <f t="shared" si="5"/>
        <v>6731.9037110007539</v>
      </c>
      <c r="P97" s="186">
        <f t="shared" si="6"/>
        <v>2087.8716728475133</v>
      </c>
      <c r="Q97" s="215">
        <f>IF(P97="-",0,P97/(1+'General inputs'!$H$30)^'MP Calculations'!$C$40)</f>
        <v>4637.76639193755</v>
      </c>
    </row>
    <row r="98" spans="3:17" x14ac:dyDescent="0.25">
      <c r="C98" s="159"/>
      <c r="D98" s="165" t="s">
        <v>293</v>
      </c>
      <c r="E98" s="162">
        <v>26665</v>
      </c>
      <c r="F98" s="166" t="str">
        <f t="shared" si="4"/>
        <v>Date check - OK</v>
      </c>
      <c r="G98" s="68"/>
      <c r="H98" s="162" t="s">
        <v>279</v>
      </c>
      <c r="I98" s="173">
        <v>89592.114709699614</v>
      </c>
      <c r="J98" s="168">
        <f>IFERROR(MIN('MP Calculations'!$E$30/I98,1),"-")</f>
        <v>0.31014580161562261</v>
      </c>
      <c r="K98" s="12"/>
      <c r="L98" s="159">
        <v>20.08379</v>
      </c>
      <c r="M98" s="187" t="s">
        <v>408</v>
      </c>
      <c r="N98" s="187">
        <v>1009.889055</v>
      </c>
      <c r="O98" s="186">
        <f t="shared" si="5"/>
        <v>20282.399703918451</v>
      </c>
      <c r="P98" s="186">
        <f t="shared" si="6"/>
        <v>6290.5011148602543</v>
      </c>
      <c r="Q98" s="215">
        <f>IF(P98="-",0,P98/(1+'General inputs'!$H$30)^'MP Calculations'!$C$40)</f>
        <v>13973.020965965889</v>
      </c>
    </row>
    <row r="99" spans="3:17" x14ac:dyDescent="0.25">
      <c r="C99" s="159"/>
      <c r="D99" s="165" t="s">
        <v>293</v>
      </c>
      <c r="E99" s="162">
        <v>26665</v>
      </c>
      <c r="F99" s="166" t="str">
        <f t="shared" si="4"/>
        <v>Date check - OK</v>
      </c>
      <c r="G99" s="68"/>
      <c r="H99" s="162" t="s">
        <v>279</v>
      </c>
      <c r="I99" s="173">
        <v>89592.114709699614</v>
      </c>
      <c r="J99" s="168">
        <f>IFERROR(MIN('MP Calculations'!$E$30/I99,1),"-")</f>
        <v>0.31014580161562261</v>
      </c>
      <c r="K99" s="12"/>
      <c r="L99" s="159">
        <v>35.591208000000002</v>
      </c>
      <c r="M99" s="187" t="s">
        <v>408</v>
      </c>
      <c r="N99" s="187">
        <v>1009.889055</v>
      </c>
      <c r="O99" s="186">
        <f t="shared" si="5"/>
        <v>35943.171413428441</v>
      </c>
      <c r="P99" s="186">
        <f t="shared" si="6"/>
        <v>11147.623710625496</v>
      </c>
      <c r="Q99" s="215">
        <f>IF(P99="-",0,P99/(1+'General inputs'!$H$30)^'MP Calculations'!$C$40)</f>
        <v>24762.093986645596</v>
      </c>
    </row>
    <row r="100" spans="3:17" x14ac:dyDescent="0.25">
      <c r="C100" s="159"/>
      <c r="D100" s="165" t="s">
        <v>281</v>
      </c>
      <c r="E100" s="162">
        <v>26665</v>
      </c>
      <c r="F100" s="166" t="str">
        <f t="shared" si="4"/>
        <v>Date check - OK</v>
      </c>
      <c r="G100" s="68"/>
      <c r="H100" s="162" t="s">
        <v>279</v>
      </c>
      <c r="I100" s="173">
        <v>89592.114709699614</v>
      </c>
      <c r="J100" s="168">
        <f>IFERROR(MIN('MP Calculations'!$E$30/I100,1),"-")</f>
        <v>0.31014580161562261</v>
      </c>
      <c r="K100" s="12"/>
      <c r="L100" s="159">
        <v>3.1863999999999999</v>
      </c>
      <c r="M100" s="187" t="s">
        <v>408</v>
      </c>
      <c r="N100" s="187">
        <v>657.22938499999998</v>
      </c>
      <c r="O100" s="186">
        <f t="shared" si="5"/>
        <v>2094.195712364</v>
      </c>
      <c r="P100" s="186">
        <f t="shared" si="6"/>
        <v>649.50600795113257</v>
      </c>
      <c r="Q100" s="215">
        <f>IF(P100="-",0,P100/(1+'General inputs'!$H$30)^'MP Calculations'!$C$40)</f>
        <v>1442.7405545136128</v>
      </c>
    </row>
    <row r="101" spans="3:17" x14ac:dyDescent="0.25">
      <c r="C101" s="159"/>
      <c r="D101" s="165" t="s">
        <v>293</v>
      </c>
      <c r="E101" s="162">
        <v>26665</v>
      </c>
      <c r="F101" s="166" t="str">
        <f t="shared" si="4"/>
        <v>Date check - OK</v>
      </c>
      <c r="G101" s="68"/>
      <c r="H101" s="162" t="s">
        <v>279</v>
      </c>
      <c r="I101" s="173">
        <v>89592.114709699614</v>
      </c>
      <c r="J101" s="168">
        <f>IFERROR(MIN('MP Calculations'!$E$30/I101,1),"-")</f>
        <v>0.31014580161562261</v>
      </c>
      <c r="K101" s="12"/>
      <c r="L101" s="159">
        <v>86.226792000000003</v>
      </c>
      <c r="M101" s="187" t="s">
        <v>408</v>
      </c>
      <c r="N101" s="187">
        <v>1009.889055</v>
      </c>
      <c r="O101" s="186">
        <f t="shared" si="5"/>
        <v>87079.493488561566</v>
      </c>
      <c r="P101" s="186">
        <f t="shared" si="6"/>
        <v>27007.339312292315</v>
      </c>
      <c r="Q101" s="215">
        <f>IF(P101="-",0,P101/(1+'General inputs'!$H$30)^'MP Calculations'!$C$40)</f>
        <v>59991.105884097567</v>
      </c>
    </row>
    <row r="102" spans="3:17" x14ac:dyDescent="0.25">
      <c r="C102" s="159"/>
      <c r="D102" s="165" t="s">
        <v>293</v>
      </c>
      <c r="E102" s="162">
        <v>26665</v>
      </c>
      <c r="F102" s="166" t="str">
        <f t="shared" si="4"/>
        <v>Date check - OK</v>
      </c>
      <c r="G102" s="68"/>
      <c r="H102" s="162" t="s">
        <v>279</v>
      </c>
      <c r="I102" s="173">
        <v>89592.114709699614</v>
      </c>
      <c r="J102" s="168">
        <f>IFERROR(MIN('MP Calculations'!$E$30/I102,1),"-")</f>
        <v>0.31014580161562261</v>
      </c>
      <c r="K102" s="12"/>
      <c r="L102" s="159">
        <v>16.506809000000001</v>
      </c>
      <c r="M102" s="187" t="s">
        <v>408</v>
      </c>
      <c r="N102" s="187">
        <v>1009.889055</v>
      </c>
      <c r="O102" s="186">
        <f t="shared" si="5"/>
        <v>16670.045742075494</v>
      </c>
      <c r="P102" s="186">
        <f t="shared" si="6"/>
        <v>5170.1446996451004</v>
      </c>
      <c r="Q102" s="215">
        <f>IF(P102="-",0,P102/(1+'General inputs'!$H$30)^'MP Calculations'!$C$40)</f>
        <v>11484.385578528476</v>
      </c>
    </row>
    <row r="103" spans="3:17" x14ac:dyDescent="0.25">
      <c r="C103" s="159"/>
      <c r="D103" s="165" t="s">
        <v>293</v>
      </c>
      <c r="E103" s="162">
        <v>26665</v>
      </c>
      <c r="F103" s="166" t="str">
        <f t="shared" si="4"/>
        <v>Date check - OK</v>
      </c>
      <c r="G103" s="68"/>
      <c r="H103" s="162" t="s">
        <v>279</v>
      </c>
      <c r="I103" s="173">
        <v>89592.114709699614</v>
      </c>
      <c r="J103" s="168">
        <f>IFERROR(MIN('MP Calculations'!$E$30/I103,1),"-")</f>
        <v>0.31014580161562261</v>
      </c>
      <c r="K103" s="12"/>
      <c r="L103" s="159">
        <v>61.939152</v>
      </c>
      <c r="M103" s="187" t="s">
        <v>408</v>
      </c>
      <c r="N103" s="187">
        <v>1009.889055</v>
      </c>
      <c r="O103" s="186">
        <f t="shared" si="5"/>
        <v>62551.671680781357</v>
      </c>
      <c r="P103" s="186">
        <f t="shared" si="6"/>
        <v>19400.138355833173</v>
      </c>
      <c r="Q103" s="215">
        <f>IF(P103="-",0,P103/(1+'General inputs'!$H$30)^'MP Calculations'!$C$40)</f>
        <v>43093.314036352102</v>
      </c>
    </row>
    <row r="104" spans="3:17" x14ac:dyDescent="0.25">
      <c r="C104" s="159"/>
      <c r="D104" s="165" t="s">
        <v>282</v>
      </c>
      <c r="E104" s="162">
        <v>26665</v>
      </c>
      <c r="F104" s="166" t="str">
        <f t="shared" si="4"/>
        <v>Date check - OK</v>
      </c>
      <c r="G104" s="68"/>
      <c r="H104" s="162" t="s">
        <v>279</v>
      </c>
      <c r="I104" s="173">
        <v>89592.114709699614</v>
      </c>
      <c r="J104" s="168">
        <f>IFERROR(MIN('MP Calculations'!$E$30/I104,1),"-")</f>
        <v>0.31014580161562261</v>
      </c>
      <c r="K104" s="12"/>
      <c r="L104" s="159">
        <v>50.241903000000001</v>
      </c>
      <c r="M104" s="187" t="s">
        <v>408</v>
      </c>
      <c r="N104" s="187">
        <v>1009.889055</v>
      </c>
      <c r="O104" s="186">
        <f t="shared" si="5"/>
        <v>50738.747942071663</v>
      </c>
      <c r="P104" s="186">
        <f t="shared" si="6"/>
        <v>15736.409653466837</v>
      </c>
      <c r="Q104" s="215">
        <f>IF(P104="-",0,P104/(1+'General inputs'!$H$30)^'MP Calculations'!$C$40)</f>
        <v>34955.113750393946</v>
      </c>
    </row>
    <row r="105" spans="3:17" x14ac:dyDescent="0.25">
      <c r="C105" s="159"/>
      <c r="D105" s="165" t="s">
        <v>293</v>
      </c>
      <c r="E105" s="162">
        <v>26665</v>
      </c>
      <c r="F105" s="166" t="str">
        <f t="shared" si="4"/>
        <v>Date check - OK</v>
      </c>
      <c r="G105" s="68"/>
      <c r="H105" s="162" t="s">
        <v>279</v>
      </c>
      <c r="I105" s="173">
        <v>89592.114709699614</v>
      </c>
      <c r="J105" s="168">
        <f>IFERROR(MIN('MP Calculations'!$E$30/I105,1),"-")</f>
        <v>0.31014580161562261</v>
      </c>
      <c r="K105" s="12"/>
      <c r="L105" s="159">
        <v>48.472456999999999</v>
      </c>
      <c r="M105" s="187" t="s">
        <v>408</v>
      </c>
      <c r="N105" s="187">
        <v>1009.889055</v>
      </c>
      <c r="O105" s="186">
        <f t="shared" si="5"/>
        <v>48951.803793258136</v>
      </c>
      <c r="P105" s="186">
        <f t="shared" si="6"/>
        <v>15182.196427990721</v>
      </c>
      <c r="Q105" s="215">
        <f>IF(P105="-",0,P105/(1+'General inputs'!$H$30)^'MP Calculations'!$C$40)</f>
        <v>33724.046005902273</v>
      </c>
    </row>
    <row r="106" spans="3:17" x14ac:dyDescent="0.25">
      <c r="C106" s="159"/>
      <c r="D106" s="165" t="s">
        <v>293</v>
      </c>
      <c r="E106" s="162">
        <v>26665</v>
      </c>
      <c r="F106" s="166" t="str">
        <f t="shared" si="4"/>
        <v>Date check - OK</v>
      </c>
      <c r="G106" s="68"/>
      <c r="H106" s="162" t="s">
        <v>279</v>
      </c>
      <c r="I106" s="173">
        <v>89592.114709699614</v>
      </c>
      <c r="J106" s="168">
        <f>IFERROR(MIN('MP Calculations'!$E$30/I106,1),"-")</f>
        <v>0.31014580161562261</v>
      </c>
      <c r="K106" s="12"/>
      <c r="L106" s="159">
        <v>10.512727</v>
      </c>
      <c r="M106" s="187" t="s">
        <v>408</v>
      </c>
      <c r="N106" s="187">
        <v>1009.889055</v>
      </c>
      <c r="O106" s="186">
        <f t="shared" si="5"/>
        <v>10616.687935502985</v>
      </c>
      <c r="P106" s="186">
        <f t="shared" si="6"/>
        <v>3292.7211902594827</v>
      </c>
      <c r="Q106" s="215">
        <f>IF(P106="-",0,P106/(1+'General inputs'!$H$30)^'MP Calculations'!$C$40)</f>
        <v>7314.085378331265</v>
      </c>
    </row>
    <row r="107" spans="3:17" x14ac:dyDescent="0.25">
      <c r="C107" s="159"/>
      <c r="D107" s="165" t="s">
        <v>293</v>
      </c>
      <c r="E107" s="162">
        <v>26665</v>
      </c>
      <c r="F107" s="166" t="str">
        <f t="shared" si="4"/>
        <v>Date check - OK</v>
      </c>
      <c r="G107" s="68"/>
      <c r="H107" s="162" t="s">
        <v>279</v>
      </c>
      <c r="I107" s="173">
        <v>89592.114709699614</v>
      </c>
      <c r="J107" s="168">
        <f>IFERROR(MIN('MP Calculations'!$E$30/I107,1),"-")</f>
        <v>0.31014580161562261</v>
      </c>
      <c r="K107" s="12"/>
      <c r="L107" s="159">
        <v>30.108284000000001</v>
      </c>
      <c r="M107" s="187" t="s">
        <v>408</v>
      </c>
      <c r="N107" s="187">
        <v>1009.889055</v>
      </c>
      <c r="O107" s="186">
        <f t="shared" si="5"/>
        <v>30406.02647643162</v>
      </c>
      <c r="P107" s="186">
        <f t="shared" si="6"/>
        <v>9430.3014554787296</v>
      </c>
      <c r="Q107" s="215">
        <f>IF(P107="-",0,P107/(1+'General inputs'!$H$30)^'MP Calculations'!$C$40)</f>
        <v>20947.424942267138</v>
      </c>
    </row>
    <row r="108" spans="3:17" x14ac:dyDescent="0.25">
      <c r="C108" s="159"/>
      <c r="D108" s="165" t="s">
        <v>282</v>
      </c>
      <c r="E108" s="162">
        <v>26665</v>
      </c>
      <c r="F108" s="166" t="str">
        <f t="shared" si="4"/>
        <v>Date check - OK</v>
      </c>
      <c r="G108" s="68"/>
      <c r="H108" s="162" t="s">
        <v>279</v>
      </c>
      <c r="I108" s="173">
        <v>89592.114709699614</v>
      </c>
      <c r="J108" s="168">
        <f>IFERROR(MIN('MP Calculations'!$E$30/I108,1),"-")</f>
        <v>0.31014580161562261</v>
      </c>
      <c r="K108" s="12"/>
      <c r="L108" s="159">
        <v>28.612065999999999</v>
      </c>
      <c r="M108" s="187" t="s">
        <v>408</v>
      </c>
      <c r="N108" s="187">
        <v>1009.889055</v>
      </c>
      <c r="O108" s="186">
        <f t="shared" si="5"/>
        <v>28895.01229433763</v>
      </c>
      <c r="P108" s="186">
        <f t="shared" si="6"/>
        <v>8961.6667507206148</v>
      </c>
      <c r="Q108" s="215">
        <f>IF(P108="-",0,P108/(1+'General inputs'!$H$30)^'MP Calculations'!$C$40)</f>
        <v>19906.45182495932</v>
      </c>
    </row>
    <row r="109" spans="3:17" x14ac:dyDescent="0.25">
      <c r="C109" s="159"/>
      <c r="D109" s="165" t="s">
        <v>293</v>
      </c>
      <c r="E109" s="162">
        <v>26665</v>
      </c>
      <c r="F109" s="166" t="str">
        <f t="shared" si="4"/>
        <v>Date check - OK</v>
      </c>
      <c r="G109" s="68"/>
      <c r="H109" s="162" t="s">
        <v>279</v>
      </c>
      <c r="I109" s="173">
        <v>89592.114709699614</v>
      </c>
      <c r="J109" s="168">
        <f>IFERROR(MIN('MP Calculations'!$E$30/I109,1),"-")</f>
        <v>0.31014580161562261</v>
      </c>
      <c r="K109" s="12"/>
      <c r="L109" s="159">
        <v>4.5201989999999999</v>
      </c>
      <c r="M109" s="187" t="s">
        <v>408</v>
      </c>
      <c r="N109" s="187">
        <v>1009.889055</v>
      </c>
      <c r="O109" s="186">
        <f t="shared" si="5"/>
        <v>4564.8994965219445</v>
      </c>
      <c r="P109" s="186">
        <f t="shared" si="6"/>
        <v>1415.7844136435506</v>
      </c>
      <c r="Q109" s="215">
        <f>IF(P109="-",0,P109/(1+'General inputs'!$H$30)^'MP Calculations'!$C$40)</f>
        <v>3144.8663522840084</v>
      </c>
    </row>
    <row r="110" spans="3:17" x14ac:dyDescent="0.25">
      <c r="C110" s="159"/>
      <c r="D110" s="165" t="s">
        <v>293</v>
      </c>
      <c r="E110" s="162">
        <v>26665</v>
      </c>
      <c r="F110" s="166" t="str">
        <f t="shared" si="4"/>
        <v>Date check - OK</v>
      </c>
      <c r="G110" s="68"/>
      <c r="H110" s="162" t="s">
        <v>279</v>
      </c>
      <c r="I110" s="173">
        <v>89592.114709699614</v>
      </c>
      <c r="J110" s="168">
        <f>IFERROR(MIN('MP Calculations'!$E$30/I110,1),"-")</f>
        <v>0.31014580161562261</v>
      </c>
      <c r="K110" s="12"/>
      <c r="L110" s="159">
        <v>99.399269000000004</v>
      </c>
      <c r="M110" s="187" t="s">
        <v>408</v>
      </c>
      <c r="N110" s="187">
        <v>1009.889055</v>
      </c>
      <c r="O110" s="186">
        <f t="shared" si="5"/>
        <v>100382.2338381008</v>
      </c>
      <c r="P110" s="186">
        <f t="shared" si="6"/>
        <v>31133.128381684648</v>
      </c>
      <c r="Q110" s="215">
        <f>IF(P110="-",0,P110/(1+'General inputs'!$H$30)^'MP Calculations'!$C$40)</f>
        <v>69155.67578324028</v>
      </c>
    </row>
    <row r="111" spans="3:17" x14ac:dyDescent="0.25">
      <c r="C111" s="159"/>
      <c r="D111" s="165" t="s">
        <v>282</v>
      </c>
      <c r="E111" s="162">
        <v>26665</v>
      </c>
      <c r="F111" s="166" t="str">
        <f t="shared" si="4"/>
        <v>Date check - OK</v>
      </c>
      <c r="G111" s="68"/>
      <c r="H111" s="162" t="s">
        <v>279</v>
      </c>
      <c r="I111" s="173">
        <v>89592.114709699614</v>
      </c>
      <c r="J111" s="168">
        <f>IFERROR(MIN('MP Calculations'!$E$30/I111,1),"-")</f>
        <v>0.31014580161562261</v>
      </c>
      <c r="K111" s="12"/>
      <c r="L111" s="159">
        <v>7.585515</v>
      </c>
      <c r="M111" s="187" t="s">
        <v>408</v>
      </c>
      <c r="N111" s="187">
        <v>1009.889055</v>
      </c>
      <c r="O111" s="186">
        <f t="shared" si="5"/>
        <v>7660.5285750383246</v>
      </c>
      <c r="P111" s="186">
        <f t="shared" si="6"/>
        <v>2375.8807757046443</v>
      </c>
      <c r="Q111" s="215">
        <f>IF(P111="-",0,P111/(1+'General inputs'!$H$30)^'MP Calculations'!$C$40)</f>
        <v>5277.5178456182193</v>
      </c>
    </row>
    <row r="112" spans="3:17" x14ac:dyDescent="0.25">
      <c r="C112" s="159"/>
      <c r="D112" s="165" t="s">
        <v>282</v>
      </c>
      <c r="E112" s="162">
        <v>26665</v>
      </c>
      <c r="F112" s="166" t="str">
        <f t="shared" si="4"/>
        <v>Date check - OK</v>
      </c>
      <c r="G112" s="68"/>
      <c r="H112" s="162" t="s">
        <v>279</v>
      </c>
      <c r="I112" s="173">
        <v>89592.114709699614</v>
      </c>
      <c r="J112" s="168">
        <f>IFERROR(MIN('MP Calculations'!$E$30/I112,1),"-")</f>
        <v>0.31014580161562261</v>
      </c>
      <c r="K112" s="12"/>
      <c r="L112" s="159">
        <v>11.614689</v>
      </c>
      <c r="M112" s="187" t="s">
        <v>408</v>
      </c>
      <c r="N112" s="187">
        <v>1009.889055</v>
      </c>
      <c r="O112" s="186">
        <f t="shared" si="5"/>
        <v>11729.547298328895</v>
      </c>
      <c r="P112" s="186">
        <f t="shared" si="6"/>
        <v>3637.8698494285754</v>
      </c>
      <c r="Q112" s="215">
        <f>IF(P112="-",0,P112/(1+'General inputs'!$H$30)^'MP Calculations'!$C$40)</f>
        <v>8080.7603002308515</v>
      </c>
    </row>
    <row r="113" spans="3:17" x14ac:dyDescent="0.25">
      <c r="C113" s="159"/>
      <c r="D113" s="165" t="s">
        <v>282</v>
      </c>
      <c r="E113" s="162">
        <v>26665</v>
      </c>
      <c r="F113" s="166" t="str">
        <f t="shared" si="4"/>
        <v>Date check - OK</v>
      </c>
      <c r="G113" s="68"/>
      <c r="H113" s="162" t="s">
        <v>279</v>
      </c>
      <c r="I113" s="173">
        <v>89592.114709699614</v>
      </c>
      <c r="J113" s="168">
        <f>IFERROR(MIN('MP Calculations'!$E$30/I113,1),"-")</f>
        <v>0.31014580161562261</v>
      </c>
      <c r="K113" s="12"/>
      <c r="L113" s="159">
        <v>22.950793999999998</v>
      </c>
      <c r="M113" s="187" t="s">
        <v>408</v>
      </c>
      <c r="N113" s="187">
        <v>1009.889055</v>
      </c>
      <c r="O113" s="186">
        <f t="shared" si="5"/>
        <v>23177.755664159668</v>
      </c>
      <c r="P113" s="186">
        <f t="shared" si="6"/>
        <v>7188.4836101118372</v>
      </c>
      <c r="Q113" s="215">
        <f>IF(P113="-",0,P113/(1+'General inputs'!$H$30)^'MP Calculations'!$C$40)</f>
        <v>15967.699609862684</v>
      </c>
    </row>
    <row r="114" spans="3:17" x14ac:dyDescent="0.25">
      <c r="C114" s="159"/>
      <c r="D114" s="165" t="s">
        <v>293</v>
      </c>
      <c r="E114" s="162">
        <v>26665</v>
      </c>
      <c r="F114" s="166" t="str">
        <f t="shared" si="4"/>
        <v>Date check - OK</v>
      </c>
      <c r="G114" s="68"/>
      <c r="H114" s="162" t="s">
        <v>279</v>
      </c>
      <c r="I114" s="173">
        <v>89592.114709699614</v>
      </c>
      <c r="J114" s="168">
        <f>IFERROR(MIN('MP Calculations'!$E$30/I114,1),"-")</f>
        <v>0.31014580161562261</v>
      </c>
      <c r="K114" s="12"/>
      <c r="L114" s="159">
        <v>13.885895</v>
      </c>
      <c r="M114" s="187" t="s">
        <v>408</v>
      </c>
      <c r="N114" s="187">
        <v>1009.889055</v>
      </c>
      <c r="O114" s="186">
        <f t="shared" si="5"/>
        <v>14023.213379379224</v>
      </c>
      <c r="P114" s="186">
        <f t="shared" si="6"/>
        <v>4349.2407547744933</v>
      </c>
      <c r="Q114" s="215">
        <f>IF(P114="-",0,P114/(1+'General inputs'!$H$30)^'MP Calculations'!$C$40)</f>
        <v>9660.9206711582265</v>
      </c>
    </row>
    <row r="115" spans="3:17" x14ac:dyDescent="0.25">
      <c r="C115" s="159"/>
      <c r="D115" s="165" t="s">
        <v>282</v>
      </c>
      <c r="E115" s="162">
        <v>26665</v>
      </c>
      <c r="F115" s="166" t="str">
        <f t="shared" si="4"/>
        <v>Date check - OK</v>
      </c>
      <c r="G115" s="68"/>
      <c r="H115" s="162" t="s">
        <v>279</v>
      </c>
      <c r="I115" s="173">
        <v>89592.114709699614</v>
      </c>
      <c r="J115" s="168">
        <f>IFERROR(MIN('MP Calculations'!$E$30/I115,1),"-")</f>
        <v>0.31014580161562261</v>
      </c>
      <c r="K115" s="12"/>
      <c r="L115" s="159">
        <v>115.323864</v>
      </c>
      <c r="M115" s="187" t="s">
        <v>408</v>
      </c>
      <c r="N115" s="187">
        <v>1009.889055</v>
      </c>
      <c r="O115" s="186">
        <f t="shared" si="5"/>
        <v>116464.30803390851</v>
      </c>
      <c r="P115" s="186">
        <f t="shared" si="6"/>
        <v>36120.91617478535</v>
      </c>
      <c r="Q115" s="215">
        <f>IF(P115="-",0,P115/(1+'General inputs'!$H$30)^'MP Calculations'!$C$40)</f>
        <v>80234.993970171898</v>
      </c>
    </row>
    <row r="116" spans="3:17" x14ac:dyDescent="0.25">
      <c r="C116" s="159"/>
      <c r="D116" s="165" t="s">
        <v>282</v>
      </c>
      <c r="E116" s="162">
        <v>26665</v>
      </c>
      <c r="F116" s="166" t="str">
        <f t="shared" si="4"/>
        <v>Date check - OK</v>
      </c>
      <c r="G116" s="68"/>
      <c r="H116" s="162" t="s">
        <v>279</v>
      </c>
      <c r="I116" s="173">
        <v>89592.114709699614</v>
      </c>
      <c r="J116" s="168">
        <f>IFERROR(MIN('MP Calculations'!$E$30/I116,1),"-")</f>
        <v>0.31014580161562261</v>
      </c>
      <c r="K116" s="12"/>
      <c r="L116" s="159">
        <v>99.192133999999996</v>
      </c>
      <c r="M116" s="187" t="s">
        <v>408</v>
      </c>
      <c r="N116" s="187">
        <v>1009.889055</v>
      </c>
      <c r="O116" s="186">
        <f t="shared" si="5"/>
        <v>100173.05046869337</v>
      </c>
      <c r="P116" s="186">
        <f t="shared" si="6"/>
        <v>31068.251037895127</v>
      </c>
      <c r="Q116" s="215">
        <f>IF(P116="-",0,P116/(1+'General inputs'!$H$30)^'MP Calculations'!$C$40)</f>
        <v>69011.564452770021</v>
      </c>
    </row>
    <row r="117" spans="3:17" x14ac:dyDescent="0.25">
      <c r="C117" s="159"/>
      <c r="D117" s="165" t="s">
        <v>293</v>
      </c>
      <c r="E117" s="162">
        <v>26665</v>
      </c>
      <c r="F117" s="166" t="str">
        <f t="shared" si="4"/>
        <v>Date check - OK</v>
      </c>
      <c r="G117" s="68"/>
      <c r="H117" s="162" t="s">
        <v>279</v>
      </c>
      <c r="I117" s="173">
        <v>89592.114709699614</v>
      </c>
      <c r="J117" s="168">
        <f>IFERROR(MIN('MP Calculations'!$E$30/I117,1),"-")</f>
        <v>0.31014580161562261</v>
      </c>
      <c r="K117" s="12"/>
      <c r="L117" s="159">
        <v>34.063231999999999</v>
      </c>
      <c r="M117" s="187" t="s">
        <v>408</v>
      </c>
      <c r="N117" s="187">
        <v>1009.889055</v>
      </c>
      <c r="O117" s="186">
        <f t="shared" si="5"/>
        <v>34400.085174725762</v>
      </c>
      <c r="P117" s="186">
        <f t="shared" si="6"/>
        <v>10669.041992161017</v>
      </c>
      <c r="Q117" s="215">
        <f>IF(P117="-",0,P117/(1+'General inputs'!$H$30)^'MP Calculations'!$C$40)</f>
        <v>23699.025677153579</v>
      </c>
    </row>
    <row r="118" spans="3:17" x14ac:dyDescent="0.25">
      <c r="C118" s="159"/>
      <c r="D118" s="165" t="s">
        <v>282</v>
      </c>
      <c r="E118" s="162">
        <v>26665</v>
      </c>
      <c r="F118" s="166" t="str">
        <f t="shared" si="4"/>
        <v>Date check - OK</v>
      </c>
      <c r="G118" s="68"/>
      <c r="H118" s="162" t="s">
        <v>279</v>
      </c>
      <c r="I118" s="173">
        <v>89592.114709699614</v>
      </c>
      <c r="J118" s="168">
        <f>IFERROR(MIN('MP Calculations'!$E$30/I118,1),"-")</f>
        <v>0.31014580161562261</v>
      </c>
      <c r="K118" s="12"/>
      <c r="L118" s="159">
        <v>21.370070999999999</v>
      </c>
      <c r="M118" s="187" t="s">
        <v>408</v>
      </c>
      <c r="N118" s="187">
        <v>1009.889055</v>
      </c>
      <c r="O118" s="186">
        <f t="shared" si="5"/>
        <v>21581.400807472903</v>
      </c>
      <c r="P118" s="186">
        <f t="shared" si="6"/>
        <v>6693.3808534217287</v>
      </c>
      <c r="Q118" s="215">
        <f>IF(P118="-",0,P118/(1+'General inputs'!$H$30)^'MP Calculations'!$C$40)</f>
        <v>14867.933299799472</v>
      </c>
    </row>
    <row r="119" spans="3:17" x14ac:dyDescent="0.25">
      <c r="C119" s="159"/>
      <c r="D119" s="165" t="s">
        <v>282</v>
      </c>
      <c r="E119" s="162">
        <v>26665</v>
      </c>
      <c r="F119" s="166" t="str">
        <f t="shared" si="4"/>
        <v>Date check - OK</v>
      </c>
      <c r="G119" s="68"/>
      <c r="H119" s="162" t="s">
        <v>279</v>
      </c>
      <c r="I119" s="173">
        <v>89592.114709699614</v>
      </c>
      <c r="J119" s="168">
        <f>IFERROR(MIN('MP Calculations'!$E$30/I119,1),"-")</f>
        <v>0.31014580161562261</v>
      </c>
      <c r="K119" s="12"/>
      <c r="L119" s="159">
        <v>82.677781999999993</v>
      </c>
      <c r="M119" s="187" t="s">
        <v>408</v>
      </c>
      <c r="N119" s="187">
        <v>1009.889055</v>
      </c>
      <c r="O119" s="186">
        <f t="shared" si="5"/>
        <v>83495.387133476004</v>
      </c>
      <c r="P119" s="186">
        <f t="shared" si="6"/>
        <v>25895.743773718656</v>
      </c>
      <c r="Q119" s="215">
        <f>IF(P119="-",0,P119/(1+'General inputs'!$H$30)^'MP Calculations'!$C$40)</f>
        <v>57521.930935623059</v>
      </c>
    </row>
    <row r="120" spans="3:17" x14ac:dyDescent="0.25">
      <c r="C120" s="159"/>
      <c r="D120" s="165" t="s">
        <v>281</v>
      </c>
      <c r="E120" s="162">
        <v>26665</v>
      </c>
      <c r="F120" s="166" t="str">
        <f t="shared" si="4"/>
        <v>Date check - OK</v>
      </c>
      <c r="G120" s="68"/>
      <c r="H120" s="162" t="s">
        <v>279</v>
      </c>
      <c r="I120" s="173">
        <v>89592.114709699614</v>
      </c>
      <c r="J120" s="168">
        <f>IFERROR(MIN('MP Calculations'!$E$30/I120,1),"-")</f>
        <v>0.31014580161562261</v>
      </c>
      <c r="K120" s="12"/>
      <c r="L120" s="159">
        <v>6.1733010000000004</v>
      </c>
      <c r="M120" s="187" t="s">
        <v>408</v>
      </c>
      <c r="N120" s="187">
        <v>657.22938499999998</v>
      </c>
      <c r="O120" s="186">
        <f t="shared" si="5"/>
        <v>4057.2748196498851</v>
      </c>
      <c r="P120" s="186">
        <f t="shared" si="6"/>
        <v>1258.3467513151943</v>
      </c>
      <c r="Q120" s="215">
        <f>IF(P120="-",0,P120/(1+'General inputs'!$H$30)^'MP Calculations'!$C$40)</f>
        <v>2795.1518038913637</v>
      </c>
    </row>
    <row r="121" spans="3:17" x14ac:dyDescent="0.25">
      <c r="C121" s="159"/>
      <c r="D121" s="165" t="s">
        <v>281</v>
      </c>
      <c r="E121" s="162">
        <v>26665</v>
      </c>
      <c r="F121" s="166" t="str">
        <f t="shared" si="4"/>
        <v>Date check - OK</v>
      </c>
      <c r="G121" s="68"/>
      <c r="H121" s="162" t="s">
        <v>279</v>
      </c>
      <c r="I121" s="173">
        <v>89592.114709699614</v>
      </c>
      <c r="J121" s="168">
        <f>IFERROR(MIN('MP Calculations'!$E$30/I121,1),"-")</f>
        <v>0.31014580161562261</v>
      </c>
      <c r="K121" s="12"/>
      <c r="L121" s="159">
        <v>38.423057999999997</v>
      </c>
      <c r="M121" s="187" t="s">
        <v>408</v>
      </c>
      <c r="N121" s="187">
        <v>657.22938499999998</v>
      </c>
      <c r="O121" s="186">
        <f t="shared" si="5"/>
        <v>25252.762779159326</v>
      </c>
      <c r="P121" s="186">
        <f t="shared" si="6"/>
        <v>7832.038355151527</v>
      </c>
      <c r="Q121" s="215">
        <f>IF(P121="-",0,P121/(1+'General inputs'!$H$30)^'MP Calculations'!$C$40)</f>
        <v>17397.220689501853</v>
      </c>
    </row>
    <row r="122" spans="3:17" x14ac:dyDescent="0.25">
      <c r="C122" s="159"/>
      <c r="D122" s="165" t="s">
        <v>283</v>
      </c>
      <c r="E122" s="162">
        <v>26665</v>
      </c>
      <c r="F122" s="166" t="str">
        <f t="shared" si="4"/>
        <v>Date check - OK</v>
      </c>
      <c r="G122" s="68"/>
      <c r="H122" s="162" t="s">
        <v>279</v>
      </c>
      <c r="I122" s="173">
        <v>89592.114709699614</v>
      </c>
      <c r="J122" s="168">
        <f>IFERROR(MIN('MP Calculations'!$E$30/I122,1),"-")</f>
        <v>0.31014580161562261</v>
      </c>
      <c r="K122" s="12"/>
      <c r="L122" s="159">
        <v>7.126525</v>
      </c>
      <c r="M122" s="187" t="s">
        <v>408</v>
      </c>
      <c r="N122" s="187">
        <v>480.89954999999998</v>
      </c>
      <c r="O122" s="186">
        <f t="shared" si="5"/>
        <v>3427.1426655637497</v>
      </c>
      <c r="P122" s="186">
        <f t="shared" si="6"/>
        <v>1062.9139092623707</v>
      </c>
      <c r="Q122" s="215">
        <f>IF(P122="-",0,P122/(1+'General inputs'!$H$30)^'MP Calculations'!$C$40)</f>
        <v>2361.0389805120981</v>
      </c>
    </row>
    <row r="123" spans="3:17" x14ac:dyDescent="0.25">
      <c r="C123" s="159"/>
      <c r="D123" s="165" t="s">
        <v>295</v>
      </c>
      <c r="E123" s="162">
        <v>26665</v>
      </c>
      <c r="F123" s="166" t="str">
        <f t="shared" si="4"/>
        <v>Date check - OK</v>
      </c>
      <c r="G123" s="68"/>
      <c r="H123" s="162" t="s">
        <v>279</v>
      </c>
      <c r="I123" s="173">
        <v>89592.114709699614</v>
      </c>
      <c r="J123" s="168">
        <f>IFERROR(MIN('MP Calculations'!$E$30/I123,1),"-")</f>
        <v>0.31014580161562261</v>
      </c>
      <c r="K123" s="12"/>
      <c r="L123" s="159">
        <v>29.421212000000001</v>
      </c>
      <c r="M123" s="187" t="s">
        <v>408</v>
      </c>
      <c r="N123" s="187">
        <v>137.14542700000001</v>
      </c>
      <c r="O123" s="186">
        <f t="shared" si="5"/>
        <v>4034.9846825975246</v>
      </c>
      <c r="P123" s="186">
        <f t="shared" si="6"/>
        <v>1251.4335588909678</v>
      </c>
      <c r="Q123" s="215">
        <f>IF(P123="-",0,P123/(1+'General inputs'!$H$30)^'MP Calculations'!$C$40)</f>
        <v>2779.7956055660384</v>
      </c>
    </row>
    <row r="124" spans="3:17" x14ac:dyDescent="0.25">
      <c r="C124" s="159"/>
      <c r="D124" s="165" t="s">
        <v>295</v>
      </c>
      <c r="E124" s="162">
        <v>26665</v>
      </c>
      <c r="F124" s="166" t="str">
        <f t="shared" si="4"/>
        <v>Date check - OK</v>
      </c>
      <c r="G124" s="68"/>
      <c r="H124" s="162" t="s">
        <v>279</v>
      </c>
      <c r="I124" s="173">
        <v>89592.114709699614</v>
      </c>
      <c r="J124" s="168">
        <f>IFERROR(MIN('MP Calculations'!$E$30/I124,1),"-")</f>
        <v>0.31014580161562261</v>
      </c>
      <c r="K124" s="12"/>
      <c r="L124" s="159">
        <v>106.411118</v>
      </c>
      <c r="M124" s="187" t="s">
        <v>408</v>
      </c>
      <c r="N124" s="187">
        <v>137.14542700000001</v>
      </c>
      <c r="O124" s="186">
        <f t="shared" si="5"/>
        <v>14593.798215657387</v>
      </c>
      <c r="P124" s="186">
        <f t="shared" si="6"/>
        <v>4526.2052462117035</v>
      </c>
      <c r="Q124" s="215">
        <f>IF(P124="-",0,P124/(1+'General inputs'!$H$30)^'MP Calculations'!$C$40)</f>
        <v>10054.009950364016</v>
      </c>
    </row>
    <row r="125" spans="3:17" x14ac:dyDescent="0.25">
      <c r="C125" s="159"/>
      <c r="D125" s="165" t="s">
        <v>295</v>
      </c>
      <c r="E125" s="162">
        <v>26665</v>
      </c>
      <c r="F125" s="166" t="str">
        <f t="shared" si="4"/>
        <v>Date check - OK</v>
      </c>
      <c r="G125" s="68"/>
      <c r="H125" s="162" t="s">
        <v>279</v>
      </c>
      <c r="I125" s="173">
        <v>89592.114709699614</v>
      </c>
      <c r="J125" s="168">
        <f>IFERROR(MIN('MP Calculations'!$E$30/I125,1),"-")</f>
        <v>0.31014580161562261</v>
      </c>
      <c r="K125" s="12"/>
      <c r="L125" s="159">
        <v>1.188795</v>
      </c>
      <c r="M125" s="187" t="s">
        <v>408</v>
      </c>
      <c r="N125" s="187">
        <v>137.14542700000001</v>
      </c>
      <c r="O125" s="186">
        <f t="shared" si="5"/>
        <v>163.03779789046501</v>
      </c>
      <c r="P125" s="186">
        <f t="shared" si="6"/>
        <v>50.565488520384136</v>
      </c>
      <c r="Q125" s="215">
        <f>IF(P125="-",0,P125/(1+'General inputs'!$H$30)^'MP Calculations'!$C$40)</f>
        <v>112.32056371161319</v>
      </c>
    </row>
    <row r="126" spans="3:17" x14ac:dyDescent="0.25">
      <c r="C126" s="159"/>
      <c r="D126" s="165" t="s">
        <v>295</v>
      </c>
      <c r="E126" s="162">
        <v>26665</v>
      </c>
      <c r="F126" s="166" t="str">
        <f t="shared" si="4"/>
        <v>Date check - OK</v>
      </c>
      <c r="G126" s="68"/>
      <c r="H126" s="162" t="s">
        <v>279</v>
      </c>
      <c r="I126" s="173">
        <v>89592.114709699614</v>
      </c>
      <c r="J126" s="168">
        <f>IFERROR(MIN('MP Calculations'!$E$30/I126,1),"-")</f>
        <v>0.31014580161562261</v>
      </c>
      <c r="K126" s="12"/>
      <c r="L126" s="159">
        <v>13.217978</v>
      </c>
      <c r="M126" s="187" t="s">
        <v>408</v>
      </c>
      <c r="N126" s="187">
        <v>137.14542700000001</v>
      </c>
      <c r="O126" s="186">
        <f t="shared" si="5"/>
        <v>1812.7852368866063</v>
      </c>
      <c r="P126" s="186">
        <f t="shared" si="6"/>
        <v>562.22773045116287</v>
      </c>
      <c r="Q126" s="215">
        <f>IF(P126="-",0,P126/(1+'General inputs'!$H$30)^'MP Calculations'!$C$40)</f>
        <v>1248.8702762778291</v>
      </c>
    </row>
    <row r="127" spans="3:17" x14ac:dyDescent="0.25">
      <c r="C127" s="159"/>
      <c r="D127" s="165" t="s">
        <v>295</v>
      </c>
      <c r="E127" s="162">
        <v>26665</v>
      </c>
      <c r="F127" s="166" t="str">
        <f t="shared" si="4"/>
        <v>Date check - OK</v>
      </c>
      <c r="G127" s="68"/>
      <c r="H127" s="162" t="s">
        <v>279</v>
      </c>
      <c r="I127" s="173">
        <v>89592.114709699614</v>
      </c>
      <c r="J127" s="168">
        <f>IFERROR(MIN('MP Calculations'!$E$30/I127,1),"-")</f>
        <v>0.31014580161562261</v>
      </c>
      <c r="K127" s="12"/>
      <c r="L127" s="159">
        <v>2.4638930000000001</v>
      </c>
      <c r="M127" s="187" t="s">
        <v>408</v>
      </c>
      <c r="N127" s="187">
        <v>137.14542700000001</v>
      </c>
      <c r="O127" s="186">
        <f t="shared" si="5"/>
        <v>337.91165756731107</v>
      </c>
      <c r="P127" s="186">
        <f t="shared" si="6"/>
        <v>104.80188191147745</v>
      </c>
      <c r="Q127" s="215">
        <f>IF(P127="-",0,P127/(1+'General inputs'!$H$30)^'MP Calculations'!$C$40)</f>
        <v>232.79526805302663</v>
      </c>
    </row>
    <row r="128" spans="3:17" x14ac:dyDescent="0.25">
      <c r="C128" s="159"/>
      <c r="D128" s="165" t="s">
        <v>295</v>
      </c>
      <c r="E128" s="162">
        <v>26665</v>
      </c>
      <c r="F128" s="166" t="str">
        <f t="shared" si="4"/>
        <v>Date check - OK</v>
      </c>
      <c r="G128" s="68"/>
      <c r="H128" s="162" t="s">
        <v>279</v>
      </c>
      <c r="I128" s="173">
        <v>89592.114709699614</v>
      </c>
      <c r="J128" s="168">
        <f>IFERROR(MIN('MP Calculations'!$E$30/I128,1),"-")</f>
        <v>0.31014580161562261</v>
      </c>
      <c r="K128" s="12"/>
      <c r="L128" s="159">
        <v>3.874679</v>
      </c>
      <c r="M128" s="187" t="s">
        <v>408</v>
      </c>
      <c r="N128" s="187">
        <v>137.14542700000001</v>
      </c>
      <c r="O128" s="186">
        <f t="shared" si="5"/>
        <v>531.39450594293305</v>
      </c>
      <c r="P128" s="186">
        <f t="shared" si="6"/>
        <v>164.80977501980871</v>
      </c>
      <c r="Q128" s="215">
        <f>IF(P128="-",0,P128/(1+'General inputs'!$H$30)^'MP Calculations'!$C$40)</f>
        <v>366.09014126199196</v>
      </c>
    </row>
    <row r="129" spans="3:17" x14ac:dyDescent="0.25">
      <c r="C129" s="159"/>
      <c r="D129" s="165" t="s">
        <v>295</v>
      </c>
      <c r="E129" s="162">
        <v>26665</v>
      </c>
      <c r="F129" s="166" t="str">
        <f t="shared" si="4"/>
        <v>Date check - OK</v>
      </c>
      <c r="G129" s="68"/>
      <c r="H129" s="162" t="s">
        <v>279</v>
      </c>
      <c r="I129" s="173">
        <v>89592.114709699614</v>
      </c>
      <c r="J129" s="168">
        <f>IFERROR(MIN('MP Calculations'!$E$30/I129,1),"-")</f>
        <v>0.31014580161562261</v>
      </c>
      <c r="K129" s="12"/>
      <c r="L129" s="159">
        <v>3.077944</v>
      </c>
      <c r="M129" s="187" t="s">
        <v>408</v>
      </c>
      <c r="N129" s="187">
        <v>137.14542700000001</v>
      </c>
      <c r="O129" s="186">
        <f t="shared" si="5"/>
        <v>422.12594416208805</v>
      </c>
      <c r="P129" s="186">
        <f t="shared" si="6"/>
        <v>130.92058933490233</v>
      </c>
      <c r="Q129" s="215">
        <f>IF(P129="-",0,P129/(1+'General inputs'!$H$30)^'MP Calculations'!$C$40)</f>
        <v>290.81246569238391</v>
      </c>
    </row>
    <row r="130" spans="3:17" x14ac:dyDescent="0.25">
      <c r="C130" s="159"/>
      <c r="D130" s="165" t="s">
        <v>295</v>
      </c>
      <c r="E130" s="162">
        <v>26665</v>
      </c>
      <c r="F130" s="166" t="str">
        <f t="shared" si="4"/>
        <v>Date check - OK</v>
      </c>
      <c r="G130" s="68"/>
      <c r="H130" s="162" t="s">
        <v>279</v>
      </c>
      <c r="I130" s="173">
        <v>89592.114709699614</v>
      </c>
      <c r="J130" s="168">
        <f>IFERROR(MIN('MP Calculations'!$E$30/I130,1),"-")</f>
        <v>0.31014580161562261</v>
      </c>
      <c r="K130" s="12"/>
      <c r="L130" s="159">
        <v>3.8749020000000001</v>
      </c>
      <c r="M130" s="187" t="s">
        <v>408</v>
      </c>
      <c r="N130" s="187">
        <v>137.14542700000001</v>
      </c>
      <c r="O130" s="186">
        <f t="shared" si="5"/>
        <v>531.42508937315404</v>
      </c>
      <c r="P130" s="186">
        <f t="shared" si="6"/>
        <v>164.81926034229073</v>
      </c>
      <c r="Q130" s="215">
        <f>IF(P130="-",0,P130/(1+'General inputs'!$H$30)^'MP Calculations'!$C$40)</f>
        <v>366.11121090453554</v>
      </c>
    </row>
    <row r="131" spans="3:17" x14ac:dyDescent="0.25">
      <c r="C131" s="159"/>
      <c r="D131" s="165" t="s">
        <v>295</v>
      </c>
      <c r="E131" s="162">
        <v>26665</v>
      </c>
      <c r="F131" s="166" t="str">
        <f t="shared" si="4"/>
        <v>Date check - OK</v>
      </c>
      <c r="G131" s="68"/>
      <c r="H131" s="162" t="s">
        <v>279</v>
      </c>
      <c r="I131" s="173">
        <v>89592.114709699614</v>
      </c>
      <c r="J131" s="168">
        <f>IFERROR(MIN('MP Calculations'!$E$30/I131,1),"-")</f>
        <v>0.31014580161562261</v>
      </c>
      <c r="K131" s="12"/>
      <c r="L131" s="159">
        <v>2.222394</v>
      </c>
      <c r="M131" s="187" t="s">
        <v>408</v>
      </c>
      <c r="N131" s="187">
        <v>137.14542700000001</v>
      </c>
      <c r="O131" s="186">
        <f t="shared" si="5"/>
        <v>304.79117409223801</v>
      </c>
      <c r="P131" s="186">
        <f t="shared" si="6"/>
        <v>94.529703014203946</v>
      </c>
      <c r="Q131" s="215">
        <f>IF(P131="-",0,P131/(1+'General inputs'!$H$30)^'MP Calculations'!$C$40)</f>
        <v>209.97779000526322</v>
      </c>
    </row>
    <row r="132" spans="3:17" x14ac:dyDescent="0.25">
      <c r="C132" s="159"/>
      <c r="D132" s="165" t="s">
        <v>295</v>
      </c>
      <c r="E132" s="162">
        <v>26665</v>
      </c>
      <c r="F132" s="166" t="str">
        <f t="shared" si="4"/>
        <v>Date check - OK</v>
      </c>
      <c r="G132" s="68"/>
      <c r="H132" s="162" t="s">
        <v>279</v>
      </c>
      <c r="I132" s="173">
        <v>89592.114709699614</v>
      </c>
      <c r="J132" s="168">
        <f>IFERROR(MIN('MP Calculations'!$E$30/I132,1),"-")</f>
        <v>0.31014580161562261</v>
      </c>
      <c r="K132" s="12"/>
      <c r="L132" s="159">
        <v>0.64654400000000001</v>
      </c>
      <c r="M132" s="187" t="s">
        <v>408</v>
      </c>
      <c r="N132" s="187">
        <v>137.14542700000001</v>
      </c>
      <c r="O132" s="186">
        <f t="shared" si="5"/>
        <v>88.670552954288013</v>
      </c>
      <c r="P132" s="186">
        <f t="shared" si="6"/>
        <v>27.50079972570817</v>
      </c>
      <c r="Q132" s="215">
        <f>IF(P132="-",0,P132/(1+'General inputs'!$H$30)^'MP Calculations'!$C$40)</f>
        <v>61.087224075102306</v>
      </c>
    </row>
    <row r="133" spans="3:17" x14ac:dyDescent="0.25">
      <c r="C133" s="159"/>
      <c r="D133" s="165" t="s">
        <v>295</v>
      </c>
      <c r="E133" s="162">
        <v>26665</v>
      </c>
      <c r="F133" s="166" t="str">
        <f t="shared" si="4"/>
        <v>Date check - OK</v>
      </c>
      <c r="G133" s="68"/>
      <c r="H133" s="162" t="s">
        <v>279</v>
      </c>
      <c r="I133" s="173">
        <v>89592.114709699614</v>
      </c>
      <c r="J133" s="168">
        <f>IFERROR(MIN('MP Calculations'!$E$30/I133,1),"-")</f>
        <v>0.31014580161562261</v>
      </c>
      <c r="K133" s="12"/>
      <c r="L133" s="159">
        <v>0.66257200000000005</v>
      </c>
      <c r="M133" s="187" t="s">
        <v>408</v>
      </c>
      <c r="N133" s="187">
        <v>137.14542700000001</v>
      </c>
      <c r="O133" s="186">
        <f t="shared" si="5"/>
        <v>90.86871985824402</v>
      </c>
      <c r="P133" s="186">
        <f t="shared" si="6"/>
        <v>28.182551962220536</v>
      </c>
      <c r="Q133" s="215">
        <f>IF(P133="-",0,P133/(1+'General inputs'!$H$30)^'MP Calculations'!$C$40)</f>
        <v>62.601592822590092</v>
      </c>
    </row>
    <row r="134" spans="3:17" x14ac:dyDescent="0.25">
      <c r="C134" s="159"/>
      <c r="D134" s="165" t="s">
        <v>295</v>
      </c>
      <c r="E134" s="162">
        <v>26665</v>
      </c>
      <c r="F134" s="166" t="str">
        <f t="shared" si="4"/>
        <v>Date check - OK</v>
      </c>
      <c r="G134" s="68"/>
      <c r="H134" s="162" t="s">
        <v>279</v>
      </c>
      <c r="I134" s="173">
        <v>89592.114709699614</v>
      </c>
      <c r="J134" s="168">
        <f>IFERROR(MIN('MP Calculations'!$E$30/I134,1),"-")</f>
        <v>0.31014580161562261</v>
      </c>
      <c r="K134" s="12"/>
      <c r="L134" s="159">
        <v>0.66958700000000004</v>
      </c>
      <c r="M134" s="187" t="s">
        <v>408</v>
      </c>
      <c r="N134" s="187">
        <v>137.14542700000001</v>
      </c>
      <c r="O134" s="186">
        <f t="shared" si="5"/>
        <v>91.830795028649021</v>
      </c>
      <c r="P134" s="186">
        <f t="shared" si="6"/>
        <v>28.480935537160281</v>
      </c>
      <c r="Q134" s="215">
        <f>IF(P134="-",0,P134/(1+'General inputs'!$H$30)^'MP Calculations'!$C$40)</f>
        <v>63.264388977046465</v>
      </c>
    </row>
    <row r="135" spans="3:17" x14ac:dyDescent="0.25">
      <c r="C135" s="159"/>
      <c r="D135" s="165" t="s">
        <v>296</v>
      </c>
      <c r="E135" s="162">
        <v>26845</v>
      </c>
      <c r="F135" s="166" t="str">
        <f t="shared" si="4"/>
        <v>Date check - OK</v>
      </c>
      <c r="G135" s="68"/>
      <c r="H135" s="162" t="s">
        <v>279</v>
      </c>
      <c r="I135" s="173">
        <v>89592.114709699614</v>
      </c>
      <c r="J135" s="168">
        <f>IFERROR(MIN('MP Calculations'!$E$30/I135,1),"-")</f>
        <v>0.31014580161562261</v>
      </c>
      <c r="K135" s="12"/>
      <c r="L135" s="159">
        <v>1</v>
      </c>
      <c r="M135" s="187" t="s">
        <v>409</v>
      </c>
      <c r="N135" s="187">
        <v>46602.959677999999</v>
      </c>
      <c r="O135" s="186">
        <f t="shared" si="5"/>
        <v>46602.959677999999</v>
      </c>
      <c r="P135" s="186">
        <f t="shared" si="6"/>
        <v>14453.712286993847</v>
      </c>
      <c r="Q135" s="215">
        <f>IF(P135="-",0,P135/(1+'General inputs'!$H$30)^'MP Calculations'!$C$40)</f>
        <v>32105.872192773699</v>
      </c>
    </row>
    <row r="136" spans="3:17" x14ac:dyDescent="0.25">
      <c r="C136" s="159"/>
      <c r="D136" s="165" t="s">
        <v>297</v>
      </c>
      <c r="E136" s="162">
        <v>26845</v>
      </c>
      <c r="F136" s="166" t="str">
        <f t="shared" si="4"/>
        <v>Date check - OK</v>
      </c>
      <c r="G136" s="68"/>
      <c r="H136" s="162" t="s">
        <v>279</v>
      </c>
      <c r="I136" s="173">
        <v>89592.114709699614</v>
      </c>
      <c r="J136" s="168">
        <f>IFERROR(MIN('MP Calculations'!$E$30/I136,1),"-")</f>
        <v>0.31014580161562261</v>
      </c>
      <c r="K136" s="12"/>
      <c r="L136" s="159">
        <v>1</v>
      </c>
      <c r="M136" s="187" t="s">
        <v>409</v>
      </c>
      <c r="N136" s="187">
        <v>46602.959677999999</v>
      </c>
      <c r="O136" s="186">
        <f t="shared" si="5"/>
        <v>46602.959677999999</v>
      </c>
      <c r="P136" s="186">
        <f t="shared" si="6"/>
        <v>14453.712286993847</v>
      </c>
      <c r="Q136" s="215">
        <f>IF(P136="-",0,P136/(1+'General inputs'!$H$30)^'MP Calculations'!$C$40)</f>
        <v>32105.872192773699</v>
      </c>
    </row>
    <row r="137" spans="3:17" x14ac:dyDescent="0.25">
      <c r="C137" s="159"/>
      <c r="D137" s="165" t="s">
        <v>298</v>
      </c>
      <c r="E137" s="162">
        <v>26845</v>
      </c>
      <c r="F137" s="166" t="str">
        <f t="shared" si="4"/>
        <v>Date check - OK</v>
      </c>
      <c r="G137" s="68"/>
      <c r="H137" s="162" t="s">
        <v>279</v>
      </c>
      <c r="I137" s="173">
        <v>89592.114709699614</v>
      </c>
      <c r="J137" s="168">
        <f>IFERROR(MIN('MP Calculations'!$E$30/I137,1),"-")</f>
        <v>0.31014580161562261</v>
      </c>
      <c r="K137" s="12"/>
      <c r="L137" s="159">
        <v>1</v>
      </c>
      <c r="M137" s="187" t="s">
        <v>409</v>
      </c>
      <c r="N137" s="187">
        <v>155279.923973</v>
      </c>
      <c r="O137" s="186">
        <f t="shared" si="5"/>
        <v>155279.923973</v>
      </c>
      <c r="P137" s="186">
        <f t="shared" si="6"/>
        <v>48159.41649541902</v>
      </c>
      <c r="Q137" s="215">
        <f>IF(P137="-",0,P137/(1+'General inputs'!$H$30)^'MP Calculations'!$C$40)</f>
        <v>106975.98237594825</v>
      </c>
    </row>
    <row r="138" spans="3:17" x14ac:dyDescent="0.25">
      <c r="C138" s="159"/>
      <c r="D138" s="165" t="s">
        <v>299</v>
      </c>
      <c r="E138" s="162">
        <v>26845</v>
      </c>
      <c r="F138" s="166" t="str">
        <f t="shared" si="4"/>
        <v>Date check - OK</v>
      </c>
      <c r="G138" s="68"/>
      <c r="H138" s="162" t="s">
        <v>279</v>
      </c>
      <c r="I138" s="173">
        <v>89592.114709699614</v>
      </c>
      <c r="J138" s="168">
        <f>IFERROR(MIN('MP Calculations'!$E$30/I138,1),"-")</f>
        <v>0.31014580161562261</v>
      </c>
      <c r="K138" s="12"/>
      <c r="L138" s="159">
        <v>1</v>
      </c>
      <c r="M138" s="187" t="s">
        <v>409</v>
      </c>
      <c r="N138" s="187">
        <v>51948.242094000001</v>
      </c>
      <c r="O138" s="186">
        <f t="shared" si="5"/>
        <v>51948.242094000001</v>
      </c>
      <c r="P138" s="186">
        <f t="shared" si="6"/>
        <v>16111.52918676606</v>
      </c>
      <c r="Q138" s="215">
        <f>IF(P138="-",0,P138/(1+'General inputs'!$H$30)^'MP Calculations'!$C$40)</f>
        <v>35788.362645486115</v>
      </c>
    </row>
    <row r="139" spans="3:17" x14ac:dyDescent="0.25">
      <c r="C139" s="159"/>
      <c r="D139" s="165" t="s">
        <v>283</v>
      </c>
      <c r="E139" s="162">
        <v>27030</v>
      </c>
      <c r="F139" s="166" t="str">
        <f t="shared" si="4"/>
        <v>Date check - OK</v>
      </c>
      <c r="G139" s="68"/>
      <c r="H139" s="162" t="s">
        <v>279</v>
      </c>
      <c r="I139" s="173">
        <v>89592.114709699614</v>
      </c>
      <c r="J139" s="168">
        <f>IFERROR(MIN('MP Calculations'!$E$30/I139,1),"-")</f>
        <v>0.31014580161562261</v>
      </c>
      <c r="K139" s="12"/>
      <c r="L139" s="159">
        <v>7.6983119999999996</v>
      </c>
      <c r="M139" s="187" t="s">
        <v>408</v>
      </c>
      <c r="N139" s="187">
        <v>480.89954999999998</v>
      </c>
      <c r="O139" s="186">
        <f t="shared" si="5"/>
        <v>3702.1147765595997</v>
      </c>
      <c r="P139" s="186">
        <f t="shared" si="6"/>
        <v>1148.1953550491187</v>
      </c>
      <c r="Q139" s="215">
        <f>IF(P139="-",0,P139/(1+'General inputs'!$H$30)^'MP Calculations'!$C$40)</f>
        <v>2550.4737184173287</v>
      </c>
    </row>
    <row r="140" spans="3:17" x14ac:dyDescent="0.25">
      <c r="C140" s="159"/>
      <c r="D140" s="165" t="s">
        <v>283</v>
      </c>
      <c r="E140" s="162">
        <v>27030</v>
      </c>
      <c r="F140" s="166" t="str">
        <f t="shared" si="4"/>
        <v>Date check - OK</v>
      </c>
      <c r="G140" s="68"/>
      <c r="H140" s="162" t="s">
        <v>279</v>
      </c>
      <c r="I140" s="173">
        <v>89592.114709699614</v>
      </c>
      <c r="J140" s="168">
        <f>IFERROR(MIN('MP Calculations'!$E$30/I140,1),"-")</f>
        <v>0.31014580161562261</v>
      </c>
      <c r="K140" s="12"/>
      <c r="L140" s="159">
        <v>13.995566999999999</v>
      </c>
      <c r="M140" s="187" t="s">
        <v>408</v>
      </c>
      <c r="N140" s="187">
        <v>480.89954999999998</v>
      </c>
      <c r="O140" s="186">
        <f t="shared" si="5"/>
        <v>6730.4618722948489</v>
      </c>
      <c r="P140" s="186">
        <f t="shared" si="6"/>
        <v>2087.42449262627</v>
      </c>
      <c r="Q140" s="215">
        <f>IF(P140="-",0,P140/(1+'General inputs'!$H$30)^'MP Calculations'!$C$40)</f>
        <v>4636.773075428594</v>
      </c>
    </row>
    <row r="141" spans="3:17" x14ac:dyDescent="0.25">
      <c r="C141" s="159"/>
      <c r="D141" s="165" t="s">
        <v>283</v>
      </c>
      <c r="E141" s="162">
        <v>27030</v>
      </c>
      <c r="F141" s="166" t="str">
        <f t="shared" si="4"/>
        <v>Date check - OK</v>
      </c>
      <c r="G141" s="68"/>
      <c r="H141" s="162" t="s">
        <v>279</v>
      </c>
      <c r="I141" s="173">
        <v>89592.114709699614</v>
      </c>
      <c r="J141" s="168">
        <f>IFERROR(MIN('MP Calculations'!$E$30/I141,1),"-")</f>
        <v>0.31014580161562261</v>
      </c>
      <c r="K141" s="12"/>
      <c r="L141" s="159">
        <v>8.8902579999999993</v>
      </c>
      <c r="M141" s="187" t="s">
        <v>408</v>
      </c>
      <c r="N141" s="187">
        <v>480.89954999999998</v>
      </c>
      <c r="O141" s="186">
        <f t="shared" si="5"/>
        <v>4275.3210715838995</v>
      </c>
      <c r="P141" s="186">
        <f t="shared" si="6"/>
        <v>1325.9728809105511</v>
      </c>
      <c r="Q141" s="215">
        <f>IF(P141="-",0,P141/(1+'General inputs'!$H$30)^'MP Calculations'!$C$40)</f>
        <v>2945.3689820507925</v>
      </c>
    </row>
    <row r="142" spans="3:17" x14ac:dyDescent="0.25">
      <c r="C142" s="159"/>
      <c r="D142" s="165" t="s">
        <v>283</v>
      </c>
      <c r="E142" s="162">
        <v>27030</v>
      </c>
      <c r="F142" s="166" t="str">
        <f t="shared" si="4"/>
        <v>Date check - OK</v>
      </c>
      <c r="G142" s="68"/>
      <c r="H142" s="162" t="s">
        <v>279</v>
      </c>
      <c r="I142" s="173">
        <v>89592.114709699614</v>
      </c>
      <c r="J142" s="168">
        <f>IFERROR(MIN('MP Calculations'!$E$30/I142,1),"-")</f>
        <v>0.31014580161562261</v>
      </c>
      <c r="K142" s="12"/>
      <c r="L142" s="159">
        <v>28.750757</v>
      </c>
      <c r="M142" s="187" t="s">
        <v>408</v>
      </c>
      <c r="N142" s="187">
        <v>480.89954999999998</v>
      </c>
      <c r="O142" s="186">
        <f t="shared" si="5"/>
        <v>13826.22610345935</v>
      </c>
      <c r="P142" s="186">
        <f t="shared" si="6"/>
        <v>4288.145978176246</v>
      </c>
      <c r="Q142" s="215">
        <f>IF(P142="-",0,P142/(1+'General inputs'!$H$30)^'MP Calculations'!$C$40)</f>
        <v>9525.2115156027758</v>
      </c>
    </row>
    <row r="143" spans="3:17" x14ac:dyDescent="0.25">
      <c r="C143" s="159"/>
      <c r="D143" s="165" t="s">
        <v>300</v>
      </c>
      <c r="E143" s="162">
        <v>27030</v>
      </c>
      <c r="F143" s="166" t="str">
        <f t="shared" si="4"/>
        <v>Date check - OK</v>
      </c>
      <c r="G143" s="68"/>
      <c r="H143" s="162" t="s">
        <v>279</v>
      </c>
      <c r="I143" s="173">
        <v>89592.114709699614</v>
      </c>
      <c r="J143" s="168">
        <f>IFERROR(MIN('MP Calculations'!$E$30/I143,1),"-")</f>
        <v>0.31014580161562261</v>
      </c>
      <c r="K143" s="12"/>
      <c r="L143" s="159">
        <v>20.993587999999999</v>
      </c>
      <c r="M143" s="187" t="s">
        <v>408</v>
      </c>
      <c r="N143" s="187">
        <v>657.22938499999998</v>
      </c>
      <c r="O143" s="186">
        <f t="shared" si="5"/>
        <v>13797.602930183379</v>
      </c>
      <c r="P143" s="186">
        <f t="shared" si="6"/>
        <v>4279.2686211557875</v>
      </c>
      <c r="Q143" s="215">
        <f>IF(P143="-",0,P143/(1+'General inputs'!$H$30)^'MP Calculations'!$C$40)</f>
        <v>9505.4923400547104</v>
      </c>
    </row>
    <row r="144" spans="3:17" x14ac:dyDescent="0.25">
      <c r="C144" s="159"/>
      <c r="D144" s="165" t="s">
        <v>301</v>
      </c>
      <c r="E144" s="162">
        <v>27210</v>
      </c>
      <c r="F144" s="166" t="str">
        <f t="shared" si="4"/>
        <v>Date check - OK</v>
      </c>
      <c r="G144" s="68"/>
      <c r="H144" s="162" t="s">
        <v>279</v>
      </c>
      <c r="I144" s="173">
        <v>89592.114709699614</v>
      </c>
      <c r="J144" s="168">
        <f>IFERROR(MIN('MP Calculations'!$E$30/I144,1),"-")</f>
        <v>0.31014580161562261</v>
      </c>
      <c r="K144" s="12"/>
      <c r="L144" s="159">
        <v>1</v>
      </c>
      <c r="M144" s="187" t="s">
        <v>409</v>
      </c>
      <c r="N144" s="187">
        <v>46602.959677999999</v>
      </c>
      <c r="O144" s="186">
        <f t="shared" si="5"/>
        <v>46602.959677999999</v>
      </c>
      <c r="P144" s="186">
        <f t="shared" si="6"/>
        <v>14453.712286993847</v>
      </c>
      <c r="Q144" s="215">
        <f>IF(P144="-",0,P144/(1+'General inputs'!$H$30)^'MP Calculations'!$C$40)</f>
        <v>32105.872192773699</v>
      </c>
    </row>
    <row r="145" spans="3:17" x14ac:dyDescent="0.25">
      <c r="C145" s="159"/>
      <c r="D145" s="165" t="s">
        <v>302</v>
      </c>
      <c r="E145" s="162">
        <v>27210</v>
      </c>
      <c r="F145" s="166" t="str">
        <f t="shared" si="4"/>
        <v>Date check - OK</v>
      </c>
      <c r="G145" s="68"/>
      <c r="H145" s="162" t="s">
        <v>279</v>
      </c>
      <c r="I145" s="173">
        <v>89592.114709699614</v>
      </c>
      <c r="J145" s="168">
        <f>IFERROR(MIN('MP Calculations'!$E$30/I145,1),"-")</f>
        <v>0.31014580161562261</v>
      </c>
      <c r="K145" s="12"/>
      <c r="L145" s="159">
        <v>1</v>
      </c>
      <c r="M145" s="187" t="s">
        <v>409</v>
      </c>
      <c r="N145" s="187">
        <v>46602.959677999999</v>
      </c>
      <c r="O145" s="186">
        <f t="shared" si="5"/>
        <v>46602.959677999999</v>
      </c>
      <c r="P145" s="186">
        <f t="shared" si="6"/>
        <v>14453.712286993847</v>
      </c>
      <c r="Q145" s="215">
        <f>IF(P145="-",0,P145/(1+'General inputs'!$H$30)^'MP Calculations'!$C$40)</f>
        <v>32105.872192773699</v>
      </c>
    </row>
    <row r="146" spans="3:17" x14ac:dyDescent="0.25">
      <c r="C146" s="159"/>
      <c r="D146" s="165" t="s">
        <v>303</v>
      </c>
      <c r="E146" s="162">
        <v>27210</v>
      </c>
      <c r="F146" s="166" t="str">
        <f t="shared" si="4"/>
        <v>Date check - OK</v>
      </c>
      <c r="G146" s="68"/>
      <c r="H146" s="162" t="s">
        <v>279</v>
      </c>
      <c r="I146" s="173">
        <v>89592.114709699614</v>
      </c>
      <c r="J146" s="168">
        <f>IFERROR(MIN('MP Calculations'!$E$30/I146,1),"-")</f>
        <v>0.31014580161562261</v>
      </c>
      <c r="K146" s="12"/>
      <c r="L146" s="159">
        <v>1</v>
      </c>
      <c r="M146" s="187" t="s">
        <v>409</v>
      </c>
      <c r="N146" s="187">
        <v>51948.242094000001</v>
      </c>
      <c r="O146" s="186">
        <f t="shared" si="5"/>
        <v>51948.242094000001</v>
      </c>
      <c r="P146" s="186">
        <f t="shared" si="6"/>
        <v>16111.52918676606</v>
      </c>
      <c r="Q146" s="215">
        <f>IF(P146="-",0,P146/(1+'General inputs'!$H$30)^'MP Calculations'!$C$40)</f>
        <v>35788.362645486115</v>
      </c>
    </row>
    <row r="147" spans="3:17" x14ac:dyDescent="0.25">
      <c r="C147" s="159"/>
      <c r="D147" s="165" t="s">
        <v>304</v>
      </c>
      <c r="E147" s="162">
        <v>27210</v>
      </c>
      <c r="F147" s="166" t="str">
        <f t="shared" si="4"/>
        <v>Date check - OK</v>
      </c>
      <c r="G147" s="68"/>
      <c r="H147" s="162" t="s">
        <v>279</v>
      </c>
      <c r="I147" s="173">
        <v>89592.114709699614</v>
      </c>
      <c r="J147" s="168">
        <f>IFERROR(MIN('MP Calculations'!$E$30/I147,1),"-")</f>
        <v>0.31014580161562261</v>
      </c>
      <c r="K147" s="12"/>
      <c r="L147" s="159">
        <v>1</v>
      </c>
      <c r="M147" s="187" t="s">
        <v>409</v>
      </c>
      <c r="N147" s="187">
        <v>18661.435921</v>
      </c>
      <c r="O147" s="186">
        <f t="shared" si="5"/>
        <v>18661.435921</v>
      </c>
      <c r="P147" s="186">
        <f t="shared" si="6"/>
        <v>5787.7660030171201</v>
      </c>
      <c r="Q147" s="215">
        <f>IF(P147="-",0,P147/(1+'General inputs'!$H$30)^'MP Calculations'!$C$40)</f>
        <v>12856.300989314652</v>
      </c>
    </row>
    <row r="148" spans="3:17" x14ac:dyDescent="0.25">
      <c r="C148" s="159"/>
      <c r="D148" s="165" t="s">
        <v>281</v>
      </c>
      <c r="E148" s="162">
        <v>27239</v>
      </c>
      <c r="F148" s="166" t="str">
        <f t="shared" si="4"/>
        <v>Date check - OK</v>
      </c>
      <c r="G148" s="68"/>
      <c r="H148" s="162" t="s">
        <v>279</v>
      </c>
      <c r="I148" s="173">
        <v>89592.114709699614</v>
      </c>
      <c r="J148" s="168">
        <f>IFERROR(MIN('MP Calculations'!$E$30/I148,1),"-")</f>
        <v>0.31014580161562261</v>
      </c>
      <c r="K148" s="12"/>
      <c r="L148" s="159">
        <v>8.9972049999999992</v>
      </c>
      <c r="M148" s="187" t="s">
        <v>408</v>
      </c>
      <c r="N148" s="187">
        <v>657.22938499999998</v>
      </c>
      <c r="O148" s="186">
        <f t="shared" si="5"/>
        <v>5913.2275088689239</v>
      </c>
      <c r="P148" s="186">
        <f t="shared" si="6"/>
        <v>1833.9626858737035</v>
      </c>
      <c r="Q148" s="215">
        <f>IF(P148="-",0,P148/(1+'General inputs'!$H$30)^'MP Calculations'!$C$40)</f>
        <v>4073.7611507571705</v>
      </c>
    </row>
    <row r="149" spans="3:17" x14ac:dyDescent="0.25">
      <c r="C149" s="159"/>
      <c r="D149" s="165" t="s">
        <v>305</v>
      </c>
      <c r="E149" s="162">
        <v>27340</v>
      </c>
      <c r="F149" s="166" t="str">
        <f t="shared" si="4"/>
        <v>Date check - OK</v>
      </c>
      <c r="G149" s="68"/>
      <c r="H149" s="162" t="s">
        <v>279</v>
      </c>
      <c r="I149" s="173">
        <v>89592.114709699614</v>
      </c>
      <c r="J149" s="168">
        <f>IFERROR(MIN('MP Calculations'!$E$30/I149,1),"-")</f>
        <v>0.31014580161562261</v>
      </c>
      <c r="K149" s="12"/>
      <c r="L149" s="159">
        <v>0.16481100000000001</v>
      </c>
      <c r="M149" s="187" t="s">
        <v>408</v>
      </c>
      <c r="N149" s="187">
        <v>73.025486999999998</v>
      </c>
      <c r="O149" s="186">
        <f t="shared" si="5"/>
        <v>12.035403537957</v>
      </c>
      <c r="P149" s="186">
        <f t="shared" si="6"/>
        <v>3.7327298780471745</v>
      </c>
      <c r="Q149" s="215">
        <f>IF(P149="-",0,P149/(1+'General inputs'!$H$30)^'MP Calculations'!$C$40)</f>
        <v>8.2914718388694162</v>
      </c>
    </row>
    <row r="150" spans="3:17" x14ac:dyDescent="0.25">
      <c r="C150" s="159"/>
      <c r="D150" s="165" t="s">
        <v>305</v>
      </c>
      <c r="E150" s="162">
        <v>27340</v>
      </c>
      <c r="F150" s="166" t="str">
        <f t="shared" si="4"/>
        <v>Date check - OK</v>
      </c>
      <c r="G150" s="68"/>
      <c r="H150" s="162" t="s">
        <v>279</v>
      </c>
      <c r="I150" s="173">
        <v>89592.114709699614</v>
      </c>
      <c r="J150" s="168">
        <f>IFERROR(MIN('MP Calculations'!$E$30/I150,1),"-")</f>
        <v>0.31014580161562261</v>
      </c>
      <c r="K150" s="12"/>
      <c r="L150" s="159">
        <v>71.444331000000005</v>
      </c>
      <c r="M150" s="187" t="s">
        <v>408</v>
      </c>
      <c r="N150" s="187">
        <v>73.025486999999998</v>
      </c>
      <c r="O150" s="186">
        <f t="shared" si="5"/>
        <v>5217.2570646641971</v>
      </c>
      <c r="P150" s="186">
        <f t="shared" si="6"/>
        <v>1618.1103745550477</v>
      </c>
      <c r="Q150" s="215">
        <f>IF(P150="-",0,P150/(1+'General inputs'!$H$30)^'MP Calculations'!$C$40)</f>
        <v>3594.2907847981337</v>
      </c>
    </row>
    <row r="151" spans="3:17" x14ac:dyDescent="0.25">
      <c r="C151" s="159"/>
      <c r="D151" s="165" t="s">
        <v>281</v>
      </c>
      <c r="E151" s="162">
        <v>27395</v>
      </c>
      <c r="F151" s="166" t="str">
        <f t="shared" ref="F151:F214" si="7">IF(E151="","-",IF(OR(E151&lt;$E$15,E151&gt;$E$16),"ERROR - date outside of range","Date check - OK"))</f>
        <v>Date check - OK</v>
      </c>
      <c r="G151" s="68"/>
      <c r="H151" s="162" t="s">
        <v>279</v>
      </c>
      <c r="I151" s="173">
        <v>89592.114709699614</v>
      </c>
      <c r="J151" s="168">
        <f>IFERROR(MIN('MP Calculations'!$E$30/I151,1),"-")</f>
        <v>0.31014580161562261</v>
      </c>
      <c r="K151" s="12"/>
      <c r="L151" s="159">
        <v>11.063064000000001</v>
      </c>
      <c r="M151" s="187" t="s">
        <v>408</v>
      </c>
      <c r="N151" s="187">
        <v>657.22938499999998</v>
      </c>
      <c r="O151" s="186">
        <f t="shared" ref="O151:O214" si="8">IF(N151="","-",L151*N151)</f>
        <v>7270.9707489356406</v>
      </c>
      <c r="P151" s="186">
        <f t="shared" ref="P151:P214" si="9">IF(O151="-","-",IF(OR(E151&lt;$E$15,E151&gt;$E$16),0,O151*J151))</f>
        <v>2255.0610514523883</v>
      </c>
      <c r="Q151" s="215">
        <f>IF(P151="-",0,P151/(1+'General inputs'!$H$30)^'MP Calculations'!$C$40)</f>
        <v>5009.1423204806651</v>
      </c>
    </row>
    <row r="152" spans="3:17" x14ac:dyDescent="0.25">
      <c r="C152" s="159"/>
      <c r="D152" s="165" t="s">
        <v>281</v>
      </c>
      <c r="E152" s="162">
        <v>27395</v>
      </c>
      <c r="F152" s="166" t="str">
        <f t="shared" si="7"/>
        <v>Date check - OK</v>
      </c>
      <c r="G152" s="68"/>
      <c r="H152" s="162" t="s">
        <v>279</v>
      </c>
      <c r="I152" s="173">
        <v>89592.114709699614</v>
      </c>
      <c r="J152" s="168">
        <f>IFERROR(MIN('MP Calculations'!$E$30/I152,1),"-")</f>
        <v>0.31014580161562261</v>
      </c>
      <c r="K152" s="12"/>
      <c r="L152" s="159">
        <v>23.839071000000001</v>
      </c>
      <c r="M152" s="187" t="s">
        <v>408</v>
      </c>
      <c r="N152" s="187">
        <v>657.22938499999998</v>
      </c>
      <c r="O152" s="186">
        <f t="shared" si="8"/>
        <v>15667.737972301335</v>
      </c>
      <c r="P152" s="186">
        <f t="shared" si="9"/>
        <v>4859.283152922927</v>
      </c>
      <c r="Q152" s="215">
        <f>IF(P152="-",0,P152/(1+'General inputs'!$H$30)^'MP Calculations'!$C$40)</f>
        <v>10793.872242539979</v>
      </c>
    </row>
    <row r="153" spans="3:17" x14ac:dyDescent="0.25">
      <c r="C153" s="159"/>
      <c r="D153" s="165" t="s">
        <v>284</v>
      </c>
      <c r="E153" s="162">
        <v>27395</v>
      </c>
      <c r="F153" s="166" t="str">
        <f t="shared" si="7"/>
        <v>Date check - OK</v>
      </c>
      <c r="G153" s="68"/>
      <c r="H153" s="162" t="s">
        <v>279</v>
      </c>
      <c r="I153" s="173">
        <v>89592.114709699614</v>
      </c>
      <c r="J153" s="168">
        <f>IFERROR(MIN('MP Calculations'!$E$30/I153,1),"-")</f>
        <v>0.31014580161562261</v>
      </c>
      <c r="K153" s="12"/>
      <c r="L153" s="159">
        <v>35.716009999999997</v>
      </c>
      <c r="M153" s="187" t="s">
        <v>408</v>
      </c>
      <c r="N153" s="187">
        <v>304.56971499999997</v>
      </c>
      <c r="O153" s="186">
        <f t="shared" si="8"/>
        <v>10878.014986637148</v>
      </c>
      <c r="P153" s="186">
        <f t="shared" si="9"/>
        <v>3373.7706780173348</v>
      </c>
      <c r="Q153" s="215">
        <f>IF(P153="-",0,P153/(1+'General inputs'!$H$30)^'MP Calculations'!$C$40)</f>
        <v>7494.1197143948748</v>
      </c>
    </row>
    <row r="154" spans="3:17" x14ac:dyDescent="0.25">
      <c r="C154" s="159"/>
      <c r="D154" s="165" t="s">
        <v>306</v>
      </c>
      <c r="E154" s="162">
        <v>27395</v>
      </c>
      <c r="F154" s="166" t="str">
        <f t="shared" si="7"/>
        <v>Date check - OK</v>
      </c>
      <c r="G154" s="68"/>
      <c r="H154" s="162" t="s">
        <v>279</v>
      </c>
      <c r="I154" s="173">
        <v>89592.114709699614</v>
      </c>
      <c r="J154" s="168">
        <f>IFERROR(MIN('MP Calculations'!$E$30/I154,1),"-")</f>
        <v>0.31014580161562261</v>
      </c>
      <c r="K154" s="12"/>
      <c r="L154" s="159">
        <v>6.7143689999999996</v>
      </c>
      <c r="M154" s="187" t="s">
        <v>408</v>
      </c>
      <c r="N154" s="187">
        <v>1362.548726</v>
      </c>
      <c r="O154" s="186">
        <f t="shared" si="8"/>
        <v>9148.6549268438939</v>
      </c>
      <c r="P154" s="186">
        <f t="shared" si="9"/>
        <v>2837.4169159907146</v>
      </c>
      <c r="Q154" s="215">
        <f>IF(P154="-",0,P154/(1+'General inputs'!$H$30)^'MP Calculations'!$C$40)</f>
        <v>6302.7229997089516</v>
      </c>
    </row>
    <row r="155" spans="3:17" x14ac:dyDescent="0.25">
      <c r="C155" s="159"/>
      <c r="D155" s="165" t="s">
        <v>306</v>
      </c>
      <c r="E155" s="162">
        <v>27395</v>
      </c>
      <c r="F155" s="166" t="str">
        <f t="shared" si="7"/>
        <v>Date check - OK</v>
      </c>
      <c r="G155" s="68"/>
      <c r="H155" s="162" t="s">
        <v>279</v>
      </c>
      <c r="I155" s="173">
        <v>89592.114709699614</v>
      </c>
      <c r="J155" s="168">
        <f>IFERROR(MIN('MP Calculations'!$E$30/I155,1),"-")</f>
        <v>0.31014580161562261</v>
      </c>
      <c r="K155" s="12"/>
      <c r="L155" s="159">
        <v>38.652867999999998</v>
      </c>
      <c r="M155" s="187" t="s">
        <v>408</v>
      </c>
      <c r="N155" s="187">
        <v>1362.548726</v>
      </c>
      <c r="O155" s="186">
        <f t="shared" si="8"/>
        <v>52666.416049646163</v>
      </c>
      <c r="P155" s="186">
        <f t="shared" si="9"/>
        <v>16334.267823939401</v>
      </c>
      <c r="Q155" s="215">
        <f>IF(P155="-",0,P155/(1+'General inputs'!$H$30)^'MP Calculations'!$C$40)</f>
        <v>36283.129531354942</v>
      </c>
    </row>
    <row r="156" spans="3:17" x14ac:dyDescent="0.25">
      <c r="C156" s="159"/>
      <c r="D156" s="165" t="s">
        <v>306</v>
      </c>
      <c r="E156" s="162">
        <v>27395</v>
      </c>
      <c r="F156" s="166" t="str">
        <f t="shared" si="7"/>
        <v>Date check - OK</v>
      </c>
      <c r="G156" s="68"/>
      <c r="H156" s="162" t="s">
        <v>279</v>
      </c>
      <c r="I156" s="173">
        <v>89592.114709699614</v>
      </c>
      <c r="J156" s="168">
        <f>IFERROR(MIN('MP Calculations'!$E$30/I156,1),"-")</f>
        <v>0.31014580161562261</v>
      </c>
      <c r="K156" s="12"/>
      <c r="L156" s="159">
        <v>17.7409</v>
      </c>
      <c r="M156" s="187" t="s">
        <v>408</v>
      </c>
      <c r="N156" s="187">
        <v>1362.548726</v>
      </c>
      <c r="O156" s="186">
        <f t="shared" si="8"/>
        <v>24172.8406930934</v>
      </c>
      <c r="P156" s="186">
        <f t="shared" si="9"/>
        <v>7497.1050540861952</v>
      </c>
      <c r="Q156" s="215">
        <f>IF(P156="-",0,P156/(1+'General inputs'!$H$30)^'MP Calculations'!$C$40)</f>
        <v>16653.237030246113</v>
      </c>
    </row>
    <row r="157" spans="3:17" x14ac:dyDescent="0.25">
      <c r="C157" s="159"/>
      <c r="D157" s="165" t="s">
        <v>306</v>
      </c>
      <c r="E157" s="162">
        <v>27395</v>
      </c>
      <c r="F157" s="166" t="str">
        <f t="shared" si="7"/>
        <v>Date check - OK</v>
      </c>
      <c r="G157" s="68"/>
      <c r="H157" s="162" t="s">
        <v>279</v>
      </c>
      <c r="I157" s="173">
        <v>89592.114709699614</v>
      </c>
      <c r="J157" s="168">
        <f>IFERROR(MIN('MP Calculations'!$E$30/I157,1),"-")</f>
        <v>0.31014580161562261</v>
      </c>
      <c r="K157" s="12"/>
      <c r="L157" s="159">
        <v>183.11576299999999</v>
      </c>
      <c r="M157" s="187" t="s">
        <v>408</v>
      </c>
      <c r="N157" s="187">
        <v>1362.548726</v>
      </c>
      <c r="O157" s="186">
        <f t="shared" si="8"/>
        <v>249504.14958616791</v>
      </c>
      <c r="P157" s="186">
        <f t="shared" si="9"/>
        <v>77382.664479826257</v>
      </c>
      <c r="Q157" s="215">
        <f>IF(P157="-",0,P157/(1+'General inputs'!$H$30)^'MP Calculations'!$C$40)</f>
        <v>171889.26183076226</v>
      </c>
    </row>
    <row r="158" spans="3:17" x14ac:dyDescent="0.25">
      <c r="C158" s="159"/>
      <c r="D158" s="165" t="s">
        <v>306</v>
      </c>
      <c r="E158" s="162">
        <v>27395</v>
      </c>
      <c r="F158" s="166" t="str">
        <f t="shared" si="7"/>
        <v>Date check - OK</v>
      </c>
      <c r="G158" s="68"/>
      <c r="H158" s="162" t="s">
        <v>279</v>
      </c>
      <c r="I158" s="173">
        <v>89592.114709699614</v>
      </c>
      <c r="J158" s="168">
        <f>IFERROR(MIN('MP Calculations'!$E$30/I158,1),"-")</f>
        <v>0.31014580161562261</v>
      </c>
      <c r="K158" s="12"/>
      <c r="L158" s="159">
        <v>9.3959270000000004</v>
      </c>
      <c r="M158" s="187" t="s">
        <v>408</v>
      </c>
      <c r="N158" s="187">
        <v>1362.548726</v>
      </c>
      <c r="O158" s="186">
        <f t="shared" si="8"/>
        <v>12802.408363439003</v>
      </c>
      <c r="P158" s="186">
        <f t="shared" si="9"/>
        <v>3970.6132044893407</v>
      </c>
      <c r="Q158" s="215">
        <f>IF(P158="-",0,P158/(1+'General inputs'!$H$30)^'MP Calculations'!$C$40)</f>
        <v>8819.879456503857</v>
      </c>
    </row>
    <row r="159" spans="3:17" x14ac:dyDescent="0.25">
      <c r="C159" s="159"/>
      <c r="D159" s="165" t="s">
        <v>283</v>
      </c>
      <c r="E159" s="162">
        <v>27395</v>
      </c>
      <c r="F159" s="166" t="str">
        <f t="shared" si="7"/>
        <v>Date check - OK</v>
      </c>
      <c r="G159" s="68"/>
      <c r="H159" s="162" t="s">
        <v>279</v>
      </c>
      <c r="I159" s="173">
        <v>89592.114709699614</v>
      </c>
      <c r="J159" s="168">
        <f>IFERROR(MIN('MP Calculations'!$E$30/I159,1),"-")</f>
        <v>0.31014580161562261</v>
      </c>
      <c r="K159" s="12"/>
      <c r="L159" s="159">
        <v>13.609037000000001</v>
      </c>
      <c r="M159" s="187" t="s">
        <v>408</v>
      </c>
      <c r="N159" s="187">
        <v>480.89954999999998</v>
      </c>
      <c r="O159" s="186">
        <f t="shared" si="8"/>
        <v>6544.5797692333499</v>
      </c>
      <c r="P159" s="186">
        <f t="shared" si="9"/>
        <v>2029.7739387662637</v>
      </c>
      <c r="Q159" s="215">
        <f>IF(P159="-",0,P159/(1+'General inputs'!$H$30)^'MP Calculations'!$C$40)</f>
        <v>4508.714533974332</v>
      </c>
    </row>
    <row r="160" spans="3:17" x14ac:dyDescent="0.25">
      <c r="C160" s="159"/>
      <c r="D160" s="165" t="s">
        <v>300</v>
      </c>
      <c r="E160" s="162">
        <v>27395</v>
      </c>
      <c r="F160" s="166" t="str">
        <f t="shared" si="7"/>
        <v>Date check - OK</v>
      </c>
      <c r="G160" s="68"/>
      <c r="H160" s="162" t="s">
        <v>279</v>
      </c>
      <c r="I160" s="173">
        <v>89592.114709699614</v>
      </c>
      <c r="J160" s="168">
        <f>IFERROR(MIN('MP Calculations'!$E$30/I160,1),"-")</f>
        <v>0.31014580161562261</v>
      </c>
      <c r="K160" s="12"/>
      <c r="L160" s="159">
        <v>10.378231</v>
      </c>
      <c r="M160" s="187" t="s">
        <v>408</v>
      </c>
      <c r="N160" s="187">
        <v>657.22938499999998</v>
      </c>
      <c r="O160" s="186">
        <f t="shared" si="8"/>
        <v>6820.8783775179345</v>
      </c>
      <c r="P160" s="186">
        <f t="shared" si="9"/>
        <v>2115.4667921179671</v>
      </c>
      <c r="Q160" s="215">
        <f>IF(P160="-",0,P160/(1+'General inputs'!$H$30)^'MP Calculations'!$C$40)</f>
        <v>4699.0631269804062</v>
      </c>
    </row>
    <row r="161" spans="3:17" x14ac:dyDescent="0.25">
      <c r="C161" s="159"/>
      <c r="D161" s="165" t="s">
        <v>283</v>
      </c>
      <c r="E161" s="162">
        <v>27395</v>
      </c>
      <c r="F161" s="166" t="str">
        <f t="shared" si="7"/>
        <v>Date check - OK</v>
      </c>
      <c r="G161" s="68"/>
      <c r="H161" s="162" t="s">
        <v>279</v>
      </c>
      <c r="I161" s="173">
        <v>89592.114709699614</v>
      </c>
      <c r="J161" s="168">
        <f>IFERROR(MIN('MP Calculations'!$E$30/I161,1),"-")</f>
        <v>0.31014580161562261</v>
      </c>
      <c r="K161" s="12"/>
      <c r="L161" s="159">
        <v>8.4087390000000006</v>
      </c>
      <c r="M161" s="187" t="s">
        <v>408</v>
      </c>
      <c r="N161" s="187">
        <v>480.89954999999998</v>
      </c>
      <c r="O161" s="186">
        <f t="shared" si="8"/>
        <v>4043.7588011674502</v>
      </c>
      <c r="P161" s="186">
        <f t="shared" si="9"/>
        <v>1254.1548149283078</v>
      </c>
      <c r="Q161" s="215">
        <f>IF(P161="-",0,P161/(1+'General inputs'!$H$30)^'MP Calculations'!$C$40)</f>
        <v>2785.8403016831235</v>
      </c>
    </row>
    <row r="162" spans="3:17" x14ac:dyDescent="0.25">
      <c r="C162" s="159"/>
      <c r="D162" s="165" t="s">
        <v>300</v>
      </c>
      <c r="E162" s="162">
        <v>27395</v>
      </c>
      <c r="F162" s="166" t="str">
        <f t="shared" si="7"/>
        <v>Date check - OK</v>
      </c>
      <c r="G162" s="68"/>
      <c r="H162" s="162" t="s">
        <v>279</v>
      </c>
      <c r="I162" s="173">
        <v>89592.114709699614</v>
      </c>
      <c r="J162" s="168">
        <f>IFERROR(MIN('MP Calculations'!$E$30/I162,1),"-")</f>
        <v>0.31014580161562261</v>
      </c>
      <c r="K162" s="12"/>
      <c r="L162" s="159">
        <v>38.763930000000002</v>
      </c>
      <c r="M162" s="187" t="s">
        <v>408</v>
      </c>
      <c r="N162" s="187">
        <v>657.22938499999998</v>
      </c>
      <c r="O162" s="186">
        <f t="shared" si="8"/>
        <v>25476.79387408305</v>
      </c>
      <c r="P162" s="186">
        <f t="shared" si="9"/>
        <v>7901.5206586734712</v>
      </c>
      <c r="Q162" s="215">
        <f>IF(P162="-",0,P162/(1+'General inputs'!$H$30)^'MP Calculations'!$C$40)</f>
        <v>17551.560966396835</v>
      </c>
    </row>
    <row r="163" spans="3:17" x14ac:dyDescent="0.25">
      <c r="C163" s="159"/>
      <c r="D163" s="165" t="s">
        <v>300</v>
      </c>
      <c r="E163" s="162">
        <v>27395</v>
      </c>
      <c r="F163" s="166" t="str">
        <f t="shared" si="7"/>
        <v>Date check - OK</v>
      </c>
      <c r="G163" s="68"/>
      <c r="H163" s="162" t="s">
        <v>279</v>
      </c>
      <c r="I163" s="173">
        <v>89592.114709699614</v>
      </c>
      <c r="J163" s="168">
        <f>IFERROR(MIN('MP Calculations'!$E$30/I163,1),"-")</f>
        <v>0.31014580161562261</v>
      </c>
      <c r="K163" s="12"/>
      <c r="L163" s="159">
        <v>12.258743000000001</v>
      </c>
      <c r="M163" s="187" t="s">
        <v>408</v>
      </c>
      <c r="N163" s="187">
        <v>657.22938499999998</v>
      </c>
      <c r="O163" s="186">
        <f t="shared" si="8"/>
        <v>8056.8061227630551</v>
      </c>
      <c r="P163" s="186">
        <f t="shared" si="9"/>
        <v>2498.7845934060042</v>
      </c>
      <c r="Q163" s="215">
        <f>IF(P163="-",0,P163/(1+'General inputs'!$H$30)^'MP Calculations'!$C$40)</f>
        <v>5550.5227446208482</v>
      </c>
    </row>
    <row r="164" spans="3:17" x14ac:dyDescent="0.25">
      <c r="C164" s="159"/>
      <c r="D164" s="165" t="s">
        <v>281</v>
      </c>
      <c r="E164" s="162">
        <v>27395</v>
      </c>
      <c r="F164" s="166" t="str">
        <f t="shared" si="7"/>
        <v>Date check - OK</v>
      </c>
      <c r="G164" s="68"/>
      <c r="H164" s="162" t="s">
        <v>279</v>
      </c>
      <c r="I164" s="173">
        <v>89592.114709699614</v>
      </c>
      <c r="J164" s="168">
        <f>IFERROR(MIN('MP Calculations'!$E$30/I164,1),"-")</f>
        <v>0.31014580161562261</v>
      </c>
      <c r="K164" s="12"/>
      <c r="L164" s="159">
        <v>7.1988289999999999</v>
      </c>
      <c r="M164" s="187" t="s">
        <v>408</v>
      </c>
      <c r="N164" s="187">
        <v>657.22938499999998</v>
      </c>
      <c r="O164" s="186">
        <f t="shared" si="8"/>
        <v>4731.2819563901649</v>
      </c>
      <c r="P164" s="186">
        <f t="shared" si="9"/>
        <v>1467.3872350341589</v>
      </c>
      <c r="Q164" s="215">
        <f>IF(P164="-",0,P164/(1+'General inputs'!$H$30)^'MP Calculations'!$C$40)</f>
        <v>3259.491132095367</v>
      </c>
    </row>
    <row r="165" spans="3:17" x14ac:dyDescent="0.25">
      <c r="C165" s="159"/>
      <c r="D165" s="165" t="s">
        <v>295</v>
      </c>
      <c r="E165" s="162">
        <v>27395</v>
      </c>
      <c r="F165" s="166" t="str">
        <f t="shared" si="7"/>
        <v>Date check - OK</v>
      </c>
      <c r="G165" s="68"/>
      <c r="H165" s="162" t="s">
        <v>279</v>
      </c>
      <c r="I165" s="173">
        <v>89592.114709699614</v>
      </c>
      <c r="J165" s="168">
        <f>IFERROR(MIN('MP Calculations'!$E$30/I165,1),"-")</f>
        <v>0.31014580161562261</v>
      </c>
      <c r="K165" s="12"/>
      <c r="L165" s="159">
        <v>100.25946399999999</v>
      </c>
      <c r="M165" s="187" t="s">
        <v>408</v>
      </c>
      <c r="N165" s="187">
        <v>137.14542700000001</v>
      </c>
      <c r="O165" s="186">
        <f t="shared" si="8"/>
        <v>13750.127001071129</v>
      </c>
      <c r="P165" s="186">
        <f t="shared" si="9"/>
        <v>4264.5441610638218</v>
      </c>
      <c r="Q165" s="215">
        <f>IF(P165="-",0,P165/(1+'General inputs'!$H$30)^'MP Calculations'!$C$40)</f>
        <v>9472.7850587394696</v>
      </c>
    </row>
    <row r="166" spans="3:17" x14ac:dyDescent="0.25">
      <c r="C166" s="159"/>
      <c r="D166" s="165" t="s">
        <v>295</v>
      </c>
      <c r="E166" s="162">
        <v>27395</v>
      </c>
      <c r="F166" s="166" t="str">
        <f t="shared" si="7"/>
        <v>Date check - OK</v>
      </c>
      <c r="G166" s="68"/>
      <c r="H166" s="162" t="s">
        <v>279</v>
      </c>
      <c r="I166" s="173">
        <v>89592.114709699614</v>
      </c>
      <c r="J166" s="168">
        <f>IFERROR(MIN('MP Calculations'!$E$30/I166,1),"-")</f>
        <v>0.31014580161562261</v>
      </c>
      <c r="K166" s="12"/>
      <c r="L166" s="159">
        <v>0.68940000000000001</v>
      </c>
      <c r="M166" s="187" t="s">
        <v>408</v>
      </c>
      <c r="N166" s="187">
        <v>137.14542700000001</v>
      </c>
      <c r="O166" s="186">
        <f t="shared" si="8"/>
        <v>94.548057373800006</v>
      </c>
      <c r="P166" s="186">
        <f t="shared" si="9"/>
        <v>29.323683045397082</v>
      </c>
      <c r="Q166" s="215">
        <f>IF(P166="-",0,P166/(1+'General inputs'!$H$30)^'MP Calculations'!$C$40)</f>
        <v>65.136374751564517</v>
      </c>
    </row>
    <row r="167" spans="3:17" x14ac:dyDescent="0.25">
      <c r="C167" s="159"/>
      <c r="D167" s="165" t="s">
        <v>295</v>
      </c>
      <c r="E167" s="162">
        <v>27395</v>
      </c>
      <c r="F167" s="166" t="str">
        <f t="shared" si="7"/>
        <v>Date check - OK</v>
      </c>
      <c r="G167" s="68"/>
      <c r="H167" s="162" t="s">
        <v>279</v>
      </c>
      <c r="I167" s="173">
        <v>89592.114709699614</v>
      </c>
      <c r="J167" s="168">
        <f>IFERROR(MIN('MP Calculations'!$E$30/I167,1),"-")</f>
        <v>0.31014580161562261</v>
      </c>
      <c r="K167" s="12"/>
      <c r="L167" s="159">
        <v>1.6571940000000001</v>
      </c>
      <c r="M167" s="187" t="s">
        <v>408</v>
      </c>
      <c r="N167" s="187">
        <v>137.14542700000001</v>
      </c>
      <c r="O167" s="186">
        <f t="shared" si="8"/>
        <v>227.27657875183803</v>
      </c>
      <c r="P167" s="186">
        <f t="shared" si="9"/>
        <v>70.48887670544498</v>
      </c>
      <c r="Q167" s="215">
        <f>IF(P167="-",0,P167/(1+'General inputs'!$H$30)^'MP Calculations'!$C$40)</f>
        <v>156.57616684079517</v>
      </c>
    </row>
    <row r="168" spans="3:17" x14ac:dyDescent="0.25">
      <c r="C168" s="159"/>
      <c r="D168" s="165" t="s">
        <v>295</v>
      </c>
      <c r="E168" s="162">
        <v>27395</v>
      </c>
      <c r="F168" s="166" t="str">
        <f t="shared" si="7"/>
        <v>Date check - OK</v>
      </c>
      <c r="G168" s="68"/>
      <c r="H168" s="162" t="s">
        <v>279</v>
      </c>
      <c r="I168" s="173">
        <v>89592.114709699614</v>
      </c>
      <c r="J168" s="168">
        <f>IFERROR(MIN('MP Calculations'!$E$30/I168,1),"-")</f>
        <v>0.31014580161562261</v>
      </c>
      <c r="K168" s="12"/>
      <c r="L168" s="159">
        <v>2.8242569999999998</v>
      </c>
      <c r="M168" s="187" t="s">
        <v>408</v>
      </c>
      <c r="N168" s="187">
        <v>137.14542700000001</v>
      </c>
      <c r="O168" s="186">
        <f t="shared" si="8"/>
        <v>387.33393222273901</v>
      </c>
      <c r="P168" s="186">
        <f t="shared" si="9"/>
        <v>120.12999290215262</v>
      </c>
      <c r="Q168" s="215">
        <f>IF(P168="-",0,P168/(1+'General inputs'!$H$30)^'MP Calculations'!$C$40)</f>
        <v>266.84343247277246</v>
      </c>
    </row>
    <row r="169" spans="3:17" x14ac:dyDescent="0.25">
      <c r="C169" s="159"/>
      <c r="D169" s="165" t="s">
        <v>295</v>
      </c>
      <c r="E169" s="162">
        <v>27395</v>
      </c>
      <c r="F169" s="166" t="str">
        <f t="shared" si="7"/>
        <v>Date check - OK</v>
      </c>
      <c r="G169" s="68"/>
      <c r="H169" s="162" t="s">
        <v>279</v>
      </c>
      <c r="I169" s="173">
        <v>89592.114709699614</v>
      </c>
      <c r="J169" s="168">
        <f>IFERROR(MIN('MP Calculations'!$E$30/I169,1),"-")</f>
        <v>0.31014580161562261</v>
      </c>
      <c r="K169" s="12"/>
      <c r="L169" s="159">
        <v>4.0077910000000001</v>
      </c>
      <c r="M169" s="187" t="s">
        <v>408</v>
      </c>
      <c r="N169" s="187">
        <v>137.14542700000001</v>
      </c>
      <c r="O169" s="186">
        <f t="shared" si="8"/>
        <v>549.65020802175707</v>
      </c>
      <c r="P169" s="186">
        <f t="shared" si="9"/>
        <v>170.47170437510155</v>
      </c>
      <c r="Q169" s="215">
        <f>IF(P169="-",0,P169/(1+'General inputs'!$H$30)^'MP Calculations'!$C$40)</f>
        <v>378.66692268921884</v>
      </c>
    </row>
    <row r="170" spans="3:17" x14ac:dyDescent="0.25">
      <c r="C170" s="159"/>
      <c r="D170" s="165" t="s">
        <v>295</v>
      </c>
      <c r="E170" s="162">
        <v>27395</v>
      </c>
      <c r="F170" s="166" t="str">
        <f t="shared" si="7"/>
        <v>Date check - OK</v>
      </c>
      <c r="G170" s="68"/>
      <c r="H170" s="162" t="s">
        <v>279</v>
      </c>
      <c r="I170" s="173">
        <v>89592.114709699614</v>
      </c>
      <c r="J170" s="168">
        <f>IFERROR(MIN('MP Calculations'!$E$30/I170,1),"-")</f>
        <v>0.31014580161562261</v>
      </c>
      <c r="K170" s="12"/>
      <c r="L170" s="159">
        <v>4.0178459999999996</v>
      </c>
      <c r="M170" s="187" t="s">
        <v>408</v>
      </c>
      <c r="N170" s="187">
        <v>137.14542700000001</v>
      </c>
      <c r="O170" s="186">
        <f t="shared" si="8"/>
        <v>551.02920529024198</v>
      </c>
      <c r="P170" s="186">
        <f t="shared" si="9"/>
        <v>170.89939458836156</v>
      </c>
      <c r="Q170" s="215">
        <f>IF(P170="-",0,P170/(1+'General inputs'!$H$30)^'MP Calculations'!$C$40)</f>
        <v>379.61694625772327</v>
      </c>
    </row>
    <row r="171" spans="3:17" x14ac:dyDescent="0.25">
      <c r="C171" s="159"/>
      <c r="D171" s="165" t="s">
        <v>295</v>
      </c>
      <c r="E171" s="162">
        <v>27395</v>
      </c>
      <c r="F171" s="166" t="str">
        <f t="shared" si="7"/>
        <v>Date check - OK</v>
      </c>
      <c r="G171" s="68"/>
      <c r="H171" s="162" t="s">
        <v>279</v>
      </c>
      <c r="I171" s="173">
        <v>89592.114709699614</v>
      </c>
      <c r="J171" s="168">
        <f>IFERROR(MIN('MP Calculations'!$E$30/I171,1),"-")</f>
        <v>0.31014580161562261</v>
      </c>
      <c r="K171" s="12"/>
      <c r="L171" s="159">
        <v>2.5760559999999999</v>
      </c>
      <c r="M171" s="187" t="s">
        <v>408</v>
      </c>
      <c r="N171" s="187">
        <v>137.14542700000001</v>
      </c>
      <c r="O171" s="186">
        <f t="shared" si="8"/>
        <v>353.29430009591204</v>
      </c>
      <c r="P171" s="186">
        <f t="shared" si="9"/>
        <v>109.57274390947697</v>
      </c>
      <c r="Q171" s="215">
        <f>IF(P171="-",0,P171/(1+'General inputs'!$H$30)^'MP Calculations'!$C$40)</f>
        <v>243.39273135627542</v>
      </c>
    </row>
    <row r="172" spans="3:17" x14ac:dyDescent="0.25">
      <c r="C172" s="159"/>
      <c r="D172" s="165" t="s">
        <v>295</v>
      </c>
      <c r="E172" s="162">
        <v>27395</v>
      </c>
      <c r="F172" s="166" t="str">
        <f t="shared" si="7"/>
        <v>Date check - OK</v>
      </c>
      <c r="G172" s="68"/>
      <c r="H172" s="162" t="s">
        <v>279</v>
      </c>
      <c r="I172" s="173">
        <v>89592.114709699614</v>
      </c>
      <c r="J172" s="168">
        <f>IFERROR(MIN('MP Calculations'!$E$30/I172,1),"-")</f>
        <v>0.31014580161562261</v>
      </c>
      <c r="K172" s="12"/>
      <c r="L172" s="159">
        <v>0.64510500000000004</v>
      </c>
      <c r="M172" s="187" t="s">
        <v>408</v>
      </c>
      <c r="N172" s="187">
        <v>137.14542700000001</v>
      </c>
      <c r="O172" s="186">
        <f t="shared" si="8"/>
        <v>88.473200684835007</v>
      </c>
      <c r="P172" s="186">
        <f t="shared" si="9"/>
        <v>27.439591747898003</v>
      </c>
      <c r="Q172" s="215">
        <f>IF(P172="-",0,P172/(1+'General inputs'!$H$30)^'MP Calculations'!$C$40)</f>
        <v>60.951263466939402</v>
      </c>
    </row>
    <row r="173" spans="3:17" x14ac:dyDescent="0.25">
      <c r="C173" s="159"/>
      <c r="D173" s="165" t="s">
        <v>295</v>
      </c>
      <c r="E173" s="162">
        <v>27395</v>
      </c>
      <c r="F173" s="166" t="str">
        <f t="shared" si="7"/>
        <v>Date check - OK</v>
      </c>
      <c r="G173" s="68"/>
      <c r="H173" s="162" t="s">
        <v>279</v>
      </c>
      <c r="I173" s="173">
        <v>89592.114709699614</v>
      </c>
      <c r="J173" s="168">
        <f>IFERROR(MIN('MP Calculations'!$E$30/I173,1),"-")</f>
        <v>0.31014580161562261</v>
      </c>
      <c r="K173" s="12"/>
      <c r="L173" s="159">
        <v>0.65025999999999995</v>
      </c>
      <c r="M173" s="187" t="s">
        <v>408</v>
      </c>
      <c r="N173" s="187">
        <v>137.14542700000001</v>
      </c>
      <c r="O173" s="186">
        <f t="shared" si="8"/>
        <v>89.180185361019994</v>
      </c>
      <c r="P173" s="186">
        <f t="shared" si="9"/>
        <v>27.658860077023359</v>
      </c>
      <c r="Q173" s="215">
        <f>IF(P173="-",0,P173/(1+'General inputs'!$H$30)^'MP Calculations'!$C$40)</f>
        <v>61.438321795695295</v>
      </c>
    </row>
    <row r="174" spans="3:17" x14ac:dyDescent="0.25">
      <c r="C174" s="159"/>
      <c r="D174" s="165" t="s">
        <v>283</v>
      </c>
      <c r="E174" s="162">
        <v>27760</v>
      </c>
      <c r="F174" s="166" t="str">
        <f t="shared" si="7"/>
        <v>Date check - OK</v>
      </c>
      <c r="G174" s="68"/>
      <c r="H174" s="162" t="s">
        <v>279</v>
      </c>
      <c r="I174" s="173">
        <v>89592.114709699614</v>
      </c>
      <c r="J174" s="168">
        <f>IFERROR(MIN('MP Calculations'!$E$30/I174,1),"-")</f>
        <v>0.31014580161562261</v>
      </c>
      <c r="K174" s="12"/>
      <c r="L174" s="159">
        <v>8.1739960000000007</v>
      </c>
      <c r="M174" s="187" t="s">
        <v>408</v>
      </c>
      <c r="N174" s="187">
        <v>480.89954999999998</v>
      </c>
      <c r="O174" s="186">
        <f t="shared" si="8"/>
        <v>3930.8709981018001</v>
      </c>
      <c r="P174" s="186">
        <f t="shared" si="9"/>
        <v>1219.1431367538853</v>
      </c>
      <c r="Q174" s="215">
        <f>IF(P174="-",0,P174/(1+'General inputs'!$H$30)^'MP Calculations'!$C$40)</f>
        <v>2708.0692458877179</v>
      </c>
    </row>
    <row r="175" spans="3:17" x14ac:dyDescent="0.25">
      <c r="C175" s="159"/>
      <c r="D175" s="165" t="s">
        <v>307</v>
      </c>
      <c r="E175" s="162">
        <v>27941</v>
      </c>
      <c r="F175" s="166" t="str">
        <f t="shared" si="7"/>
        <v>Date check - OK</v>
      </c>
      <c r="G175" s="68"/>
      <c r="H175" s="162" t="s">
        <v>279</v>
      </c>
      <c r="I175" s="173">
        <v>89592.114709699614</v>
      </c>
      <c r="J175" s="168">
        <f>IFERROR(MIN('MP Calculations'!$E$30/I175,1),"-")</f>
        <v>0.31014580161562261</v>
      </c>
      <c r="K175" s="12"/>
      <c r="L175" s="159">
        <v>1</v>
      </c>
      <c r="M175" s="187" t="s">
        <v>409</v>
      </c>
      <c r="N175" s="187">
        <v>38584.414434999999</v>
      </c>
      <c r="O175" s="186">
        <f t="shared" si="8"/>
        <v>38584.414434999999</v>
      </c>
      <c r="P175" s="186">
        <f t="shared" si="9"/>
        <v>11966.794144812475</v>
      </c>
      <c r="Q175" s="215">
        <f>IF(P175="-",0,P175/(1+'General inputs'!$H$30)^'MP Calculations'!$C$40)</f>
        <v>26581.708265793262</v>
      </c>
    </row>
    <row r="176" spans="3:17" x14ac:dyDescent="0.25">
      <c r="C176" s="159"/>
      <c r="D176" s="165" t="s">
        <v>308</v>
      </c>
      <c r="E176" s="162">
        <v>27941</v>
      </c>
      <c r="F176" s="166" t="str">
        <f t="shared" si="7"/>
        <v>Date check - OK</v>
      </c>
      <c r="G176" s="68"/>
      <c r="H176" s="162" t="s">
        <v>279</v>
      </c>
      <c r="I176" s="173">
        <v>89592.114709699614</v>
      </c>
      <c r="J176" s="168">
        <f>IFERROR(MIN('MP Calculations'!$E$30/I176,1),"-")</f>
        <v>0.31014580161562261</v>
      </c>
      <c r="K176" s="12"/>
      <c r="L176" s="159">
        <v>1</v>
      </c>
      <c r="M176" s="187" t="s">
        <v>409</v>
      </c>
      <c r="N176" s="187">
        <v>145446.46658899999</v>
      </c>
      <c r="O176" s="186">
        <f t="shared" si="8"/>
        <v>145446.46658899999</v>
      </c>
      <c r="P176" s="186">
        <f t="shared" si="9"/>
        <v>45109.610972405273</v>
      </c>
      <c r="Q176" s="215">
        <f>IF(P176="-",0,P176/(1+'General inputs'!$H$30)^'MP Calculations'!$C$40)</f>
        <v>100201.48289855069</v>
      </c>
    </row>
    <row r="177" spans="3:17" x14ac:dyDescent="0.25">
      <c r="C177" s="159"/>
      <c r="D177" s="165" t="s">
        <v>309</v>
      </c>
      <c r="E177" s="162">
        <v>27941</v>
      </c>
      <c r="F177" s="166" t="str">
        <f t="shared" si="7"/>
        <v>Date check - OK</v>
      </c>
      <c r="G177" s="68"/>
      <c r="H177" s="162" t="s">
        <v>279</v>
      </c>
      <c r="I177" s="173">
        <v>89592.114709699614</v>
      </c>
      <c r="J177" s="168">
        <f>IFERROR(MIN('MP Calculations'!$E$30/I177,1),"-")</f>
        <v>0.31014580161562261</v>
      </c>
      <c r="K177" s="12"/>
      <c r="L177" s="159">
        <v>1</v>
      </c>
      <c r="M177" s="187" t="s">
        <v>409</v>
      </c>
      <c r="N177" s="187">
        <v>39590.964376999997</v>
      </c>
      <c r="O177" s="186">
        <f t="shared" si="8"/>
        <v>39590.964376999997</v>
      </c>
      <c r="P177" s="186">
        <f t="shared" si="9"/>
        <v>12278.971383440223</v>
      </c>
      <c r="Q177" s="215">
        <f>IF(P177="-",0,P177/(1+'General inputs'!$H$30)^'MP Calculations'!$C$40)</f>
        <v>27275.144133746329</v>
      </c>
    </row>
    <row r="178" spans="3:17" x14ac:dyDescent="0.25">
      <c r="C178" s="159"/>
      <c r="D178" s="165" t="s">
        <v>310</v>
      </c>
      <c r="E178" s="162">
        <v>27941</v>
      </c>
      <c r="F178" s="166" t="str">
        <f t="shared" si="7"/>
        <v>Date check - OK</v>
      </c>
      <c r="G178" s="68"/>
      <c r="H178" s="162" t="s">
        <v>279</v>
      </c>
      <c r="I178" s="173">
        <v>89592.114709699614</v>
      </c>
      <c r="J178" s="168">
        <f>IFERROR(MIN('MP Calculations'!$E$30/I178,1),"-")</f>
        <v>0.31014580161562261</v>
      </c>
      <c r="K178" s="12"/>
      <c r="L178" s="159">
        <v>1</v>
      </c>
      <c r="M178" s="187" t="s">
        <v>409</v>
      </c>
      <c r="N178" s="187">
        <v>17446.865657999999</v>
      </c>
      <c r="O178" s="186">
        <f t="shared" si="8"/>
        <v>17446.865657999999</v>
      </c>
      <c r="P178" s="186">
        <f t="shared" si="9"/>
        <v>5411.0721351804868</v>
      </c>
      <c r="Q178" s="215">
        <f>IF(P178="-",0,P178/(1+'General inputs'!$H$30)^'MP Calculations'!$C$40)</f>
        <v>12019.555042223441</v>
      </c>
    </row>
    <row r="179" spans="3:17" x14ac:dyDescent="0.25">
      <c r="C179" s="159"/>
      <c r="D179" s="165" t="s">
        <v>293</v>
      </c>
      <c r="E179" s="162">
        <v>28024</v>
      </c>
      <c r="F179" s="166" t="str">
        <f t="shared" si="7"/>
        <v>Date check - OK</v>
      </c>
      <c r="G179" s="68"/>
      <c r="H179" s="162" t="s">
        <v>279</v>
      </c>
      <c r="I179" s="173">
        <v>89592.114709699614</v>
      </c>
      <c r="J179" s="168">
        <f>IFERROR(MIN('MP Calculations'!$E$30/I179,1),"-")</f>
        <v>0.31014580161562261</v>
      </c>
      <c r="K179" s="12"/>
      <c r="L179" s="159">
        <v>13.997185999999999</v>
      </c>
      <c r="M179" s="187" t="s">
        <v>408</v>
      </c>
      <c r="N179" s="187">
        <v>1009.889055</v>
      </c>
      <c r="O179" s="186">
        <f t="shared" si="8"/>
        <v>14135.604942199228</v>
      </c>
      <c r="P179" s="186">
        <f t="shared" si="9"/>
        <v>4384.0985261201367</v>
      </c>
      <c r="Q179" s="215">
        <f>IF(P179="-",0,P179/(1+'General inputs'!$H$30)^'MP Calculations'!$C$40)</f>
        <v>9738.3498554069829</v>
      </c>
    </row>
    <row r="180" spans="3:17" x14ac:dyDescent="0.25">
      <c r="C180" s="159"/>
      <c r="D180" s="165" t="s">
        <v>281</v>
      </c>
      <c r="E180" s="162">
        <v>28126</v>
      </c>
      <c r="F180" s="166" t="str">
        <f t="shared" si="7"/>
        <v>Date check - OK</v>
      </c>
      <c r="G180" s="68"/>
      <c r="H180" s="162" t="s">
        <v>279</v>
      </c>
      <c r="I180" s="173">
        <v>89592.114709699614</v>
      </c>
      <c r="J180" s="168">
        <f>IFERROR(MIN('MP Calculations'!$E$30/I180,1),"-")</f>
        <v>0.31014580161562261</v>
      </c>
      <c r="K180" s="12"/>
      <c r="L180" s="159">
        <v>33.418000999999997</v>
      </c>
      <c r="M180" s="187" t="s">
        <v>408</v>
      </c>
      <c r="N180" s="187">
        <v>657.22938499999998</v>
      </c>
      <c r="O180" s="186">
        <f t="shared" si="8"/>
        <v>21963.29224515938</v>
      </c>
      <c r="P180" s="186">
        <f t="shared" si="9"/>
        <v>6811.8228794931438</v>
      </c>
      <c r="Q180" s="215">
        <f>IF(P180="-",0,P180/(1+'General inputs'!$H$30)^'MP Calculations'!$C$40)</f>
        <v>15131.027270109358</v>
      </c>
    </row>
    <row r="181" spans="3:17" x14ac:dyDescent="0.25">
      <c r="C181" s="159"/>
      <c r="D181" s="165" t="s">
        <v>281</v>
      </c>
      <c r="E181" s="162">
        <v>28126</v>
      </c>
      <c r="F181" s="166" t="str">
        <f t="shared" si="7"/>
        <v>Date check - OK</v>
      </c>
      <c r="G181" s="68"/>
      <c r="H181" s="162" t="s">
        <v>279</v>
      </c>
      <c r="I181" s="173">
        <v>89592.114709699614</v>
      </c>
      <c r="J181" s="168">
        <f>IFERROR(MIN('MP Calculations'!$E$30/I181,1),"-")</f>
        <v>0.31014580161562261</v>
      </c>
      <c r="K181" s="12"/>
      <c r="L181" s="159">
        <v>27.795273000000002</v>
      </c>
      <c r="M181" s="187" t="s">
        <v>408</v>
      </c>
      <c r="N181" s="187">
        <v>657.22938499999998</v>
      </c>
      <c r="O181" s="186">
        <f t="shared" si="8"/>
        <v>18267.870179697107</v>
      </c>
      <c r="P181" s="186">
        <f t="shared" si="9"/>
        <v>5665.7032406922872</v>
      </c>
      <c r="Q181" s="215">
        <f>IF(P181="-",0,P181/(1+'General inputs'!$H$30)^'MP Calculations'!$C$40)</f>
        <v>12585.164317372979</v>
      </c>
    </row>
    <row r="182" spans="3:17" x14ac:dyDescent="0.25">
      <c r="C182" s="159"/>
      <c r="D182" s="165" t="s">
        <v>284</v>
      </c>
      <c r="E182" s="162">
        <v>28126</v>
      </c>
      <c r="F182" s="166" t="str">
        <f t="shared" si="7"/>
        <v>Date check - OK</v>
      </c>
      <c r="G182" s="68"/>
      <c r="H182" s="162" t="s">
        <v>279</v>
      </c>
      <c r="I182" s="173">
        <v>89592.114709699614</v>
      </c>
      <c r="J182" s="168">
        <f>IFERROR(MIN('MP Calculations'!$E$30/I182,1),"-")</f>
        <v>0.31014580161562261</v>
      </c>
      <c r="K182" s="12"/>
      <c r="L182" s="159">
        <v>51.882102000000003</v>
      </c>
      <c r="M182" s="187" t="s">
        <v>408</v>
      </c>
      <c r="N182" s="187">
        <v>304.56971499999997</v>
      </c>
      <c r="O182" s="186">
        <f t="shared" si="8"/>
        <v>15801.71701974093</v>
      </c>
      <c r="P182" s="186">
        <f t="shared" si="9"/>
        <v>4900.8361919907775</v>
      </c>
      <c r="Q182" s="215">
        <f>IF(P182="-",0,P182/(1+'General inputs'!$H$30)^'MP Calculations'!$C$40)</f>
        <v>10886.173551369422</v>
      </c>
    </row>
    <row r="183" spans="3:17" x14ac:dyDescent="0.25">
      <c r="C183" s="159"/>
      <c r="D183" s="165" t="s">
        <v>284</v>
      </c>
      <c r="E183" s="162">
        <v>28126</v>
      </c>
      <c r="F183" s="166" t="str">
        <f t="shared" si="7"/>
        <v>Date check - OK</v>
      </c>
      <c r="G183" s="68"/>
      <c r="H183" s="162" t="s">
        <v>279</v>
      </c>
      <c r="I183" s="173">
        <v>89592.114709699614</v>
      </c>
      <c r="J183" s="168">
        <f>IFERROR(MIN('MP Calculations'!$E$30/I183,1),"-")</f>
        <v>0.31014580161562261</v>
      </c>
      <c r="K183" s="12"/>
      <c r="L183" s="159">
        <v>35.080173000000002</v>
      </c>
      <c r="M183" s="187" t="s">
        <v>408</v>
      </c>
      <c r="N183" s="187">
        <v>304.56971499999997</v>
      </c>
      <c r="O183" s="186">
        <f t="shared" si="8"/>
        <v>10684.358292760695</v>
      </c>
      <c r="P183" s="186">
        <f t="shared" si="9"/>
        <v>3313.7088674567908</v>
      </c>
      <c r="Q183" s="215">
        <f>IF(P183="-",0,P183/(1+'General inputs'!$H$30)^'MP Calculations'!$C$40)</f>
        <v>7360.7050749421014</v>
      </c>
    </row>
    <row r="184" spans="3:17" x14ac:dyDescent="0.25">
      <c r="C184" s="159"/>
      <c r="D184" s="165" t="s">
        <v>311</v>
      </c>
      <c r="E184" s="162">
        <v>28126</v>
      </c>
      <c r="F184" s="166" t="str">
        <f t="shared" si="7"/>
        <v>Date check - OK</v>
      </c>
      <c r="G184" s="68"/>
      <c r="H184" s="162" t="s">
        <v>279</v>
      </c>
      <c r="I184" s="173">
        <v>89592.114709699614</v>
      </c>
      <c r="J184" s="168">
        <f>IFERROR(MIN('MP Calculations'!$E$30/I184,1),"-")</f>
        <v>0.31014580161562261</v>
      </c>
      <c r="K184" s="12"/>
      <c r="L184" s="159">
        <v>148.21311</v>
      </c>
      <c r="M184" s="187" t="s">
        <v>408</v>
      </c>
      <c r="N184" s="187">
        <v>1715.208396</v>
      </c>
      <c r="O184" s="186">
        <f t="shared" si="8"/>
        <v>254216.37066927156</v>
      </c>
      <c r="P184" s="186">
        <f t="shared" si="9"/>
        <v>78844.140065035477</v>
      </c>
      <c r="Q184" s="215">
        <f>IF(P184="-",0,P184/(1+'General inputs'!$H$30)^'MP Calculations'!$C$40)</f>
        <v>175135.62148009671</v>
      </c>
    </row>
    <row r="185" spans="3:17" x14ac:dyDescent="0.25">
      <c r="C185" s="159"/>
      <c r="D185" s="165" t="s">
        <v>283</v>
      </c>
      <c r="E185" s="162">
        <v>28126</v>
      </c>
      <c r="F185" s="166" t="str">
        <f t="shared" si="7"/>
        <v>Date check - OK</v>
      </c>
      <c r="G185" s="68"/>
      <c r="H185" s="162" t="s">
        <v>279</v>
      </c>
      <c r="I185" s="173">
        <v>89592.114709699614</v>
      </c>
      <c r="J185" s="168">
        <f>IFERROR(MIN('MP Calculations'!$E$30/I185,1),"-")</f>
        <v>0.31014580161562261</v>
      </c>
      <c r="K185" s="12"/>
      <c r="L185" s="159">
        <v>1.33497</v>
      </c>
      <c r="M185" s="187" t="s">
        <v>408</v>
      </c>
      <c r="N185" s="187">
        <v>480.89954999999998</v>
      </c>
      <c r="O185" s="186">
        <f t="shared" si="8"/>
        <v>641.98647226349999</v>
      </c>
      <c r="P185" s="186">
        <f t="shared" si="9"/>
        <v>199.10940906654886</v>
      </c>
      <c r="Q185" s="215">
        <f>IF(P185="-",0,P185/(1+'General inputs'!$H$30)^'MP Calculations'!$C$40)</f>
        <v>442.27954126509565</v>
      </c>
    </row>
    <row r="186" spans="3:17" x14ac:dyDescent="0.25">
      <c r="C186" s="159"/>
      <c r="D186" s="165" t="s">
        <v>283</v>
      </c>
      <c r="E186" s="162">
        <v>28126</v>
      </c>
      <c r="F186" s="166" t="str">
        <f t="shared" si="7"/>
        <v>Date check - OK</v>
      </c>
      <c r="G186" s="68"/>
      <c r="H186" s="162" t="s">
        <v>279</v>
      </c>
      <c r="I186" s="173">
        <v>89592.114709699614</v>
      </c>
      <c r="J186" s="168">
        <f>IFERROR(MIN('MP Calculations'!$E$30/I186,1),"-")</f>
        <v>0.31014580161562261</v>
      </c>
      <c r="K186" s="12"/>
      <c r="L186" s="159">
        <v>43.638385</v>
      </c>
      <c r="M186" s="187" t="s">
        <v>408</v>
      </c>
      <c r="N186" s="187">
        <v>480.89954999999998</v>
      </c>
      <c r="O186" s="186">
        <f t="shared" si="8"/>
        <v>20985.679709226748</v>
      </c>
      <c r="P186" s="186">
        <f t="shared" si="9"/>
        <v>6508.620455866836</v>
      </c>
      <c r="Q186" s="215">
        <f>IF(P186="-",0,P186/(1+'General inputs'!$H$30)^'MP Calculations'!$C$40)</f>
        <v>14457.527060046017</v>
      </c>
    </row>
    <row r="187" spans="3:17" x14ac:dyDescent="0.25">
      <c r="C187" s="159"/>
      <c r="D187" s="165" t="s">
        <v>281</v>
      </c>
      <c r="E187" s="162">
        <v>28220</v>
      </c>
      <c r="F187" s="166" t="str">
        <f t="shared" si="7"/>
        <v>Date check - OK</v>
      </c>
      <c r="G187" s="68"/>
      <c r="H187" s="162" t="s">
        <v>279</v>
      </c>
      <c r="I187" s="173">
        <v>89592.114709699614</v>
      </c>
      <c r="J187" s="168">
        <f>IFERROR(MIN('MP Calculations'!$E$30/I187,1),"-")</f>
        <v>0.31014580161562261</v>
      </c>
      <c r="K187" s="12"/>
      <c r="L187" s="159">
        <v>25.794169</v>
      </c>
      <c r="M187" s="187" t="s">
        <v>408</v>
      </c>
      <c r="N187" s="187">
        <v>657.22938499999998</v>
      </c>
      <c r="O187" s="186">
        <f t="shared" si="8"/>
        <v>16952.685828456066</v>
      </c>
      <c r="P187" s="186">
        <f t="shared" si="9"/>
        <v>5257.8043358043114</v>
      </c>
      <c r="Q187" s="215">
        <f>IF(P187="-",0,P187/(1+'General inputs'!$H$30)^'MP Calculations'!$C$40)</f>
        <v>11679.102964561211</v>
      </c>
    </row>
    <row r="188" spans="3:17" x14ac:dyDescent="0.25">
      <c r="C188" s="159"/>
      <c r="D188" s="165" t="s">
        <v>281</v>
      </c>
      <c r="E188" s="162">
        <v>28221</v>
      </c>
      <c r="F188" s="166" t="str">
        <f t="shared" si="7"/>
        <v>Date check - OK</v>
      </c>
      <c r="G188" s="68"/>
      <c r="H188" s="162" t="s">
        <v>279</v>
      </c>
      <c r="I188" s="173">
        <v>89592.114709699614</v>
      </c>
      <c r="J188" s="168">
        <f>IFERROR(MIN('MP Calculations'!$E$30/I188,1),"-")</f>
        <v>0.31014580161562261</v>
      </c>
      <c r="K188" s="12"/>
      <c r="L188" s="159">
        <v>8.1007010000000008</v>
      </c>
      <c r="M188" s="187" t="s">
        <v>408</v>
      </c>
      <c r="N188" s="187">
        <v>657.22938499999998</v>
      </c>
      <c r="O188" s="186">
        <f t="shared" si="8"/>
        <v>5324.0187362988854</v>
      </c>
      <c r="P188" s="186">
        <f t="shared" si="9"/>
        <v>1651.222058786012</v>
      </c>
      <c r="Q188" s="215">
        <f>IF(P188="-",0,P188/(1+'General inputs'!$H$30)^'MP Calculations'!$C$40)</f>
        <v>3667.8414049362855</v>
      </c>
    </row>
    <row r="189" spans="3:17" x14ac:dyDescent="0.25">
      <c r="C189" s="159"/>
      <c r="D189" s="165" t="s">
        <v>312</v>
      </c>
      <c r="E189" s="162">
        <v>28306</v>
      </c>
      <c r="F189" s="166" t="str">
        <f t="shared" si="7"/>
        <v>Date check - OK</v>
      </c>
      <c r="G189" s="68"/>
      <c r="H189" s="162" t="s">
        <v>279</v>
      </c>
      <c r="I189" s="173">
        <v>89592.114709699614</v>
      </c>
      <c r="J189" s="168">
        <f>IFERROR(MIN('MP Calculations'!$E$30/I189,1),"-")</f>
        <v>0.31014580161562261</v>
      </c>
      <c r="K189" s="12"/>
      <c r="L189" s="159">
        <v>1</v>
      </c>
      <c r="M189" s="187" t="s">
        <v>409</v>
      </c>
      <c r="N189" s="187">
        <v>38584.414434999999</v>
      </c>
      <c r="O189" s="186">
        <f t="shared" si="8"/>
        <v>38584.414434999999</v>
      </c>
      <c r="P189" s="186">
        <f t="shared" si="9"/>
        <v>11966.794144812475</v>
      </c>
      <c r="Q189" s="215">
        <f>IF(P189="-",0,P189/(1+'General inputs'!$H$30)^'MP Calculations'!$C$40)</f>
        <v>26581.708265793262</v>
      </c>
    </row>
    <row r="190" spans="3:17" x14ac:dyDescent="0.25">
      <c r="C190" s="159"/>
      <c r="D190" s="165" t="s">
        <v>300</v>
      </c>
      <c r="E190" s="162">
        <v>28419</v>
      </c>
      <c r="F190" s="166" t="str">
        <f t="shared" si="7"/>
        <v>Date check - OK</v>
      </c>
      <c r="G190" s="68"/>
      <c r="H190" s="162" t="s">
        <v>279</v>
      </c>
      <c r="I190" s="173">
        <v>89592.114709699614</v>
      </c>
      <c r="J190" s="168">
        <f>IFERROR(MIN('MP Calculations'!$E$30/I190,1),"-")</f>
        <v>0.31014580161562261</v>
      </c>
      <c r="K190" s="12"/>
      <c r="L190" s="159">
        <v>26.254684999999998</v>
      </c>
      <c r="M190" s="187" t="s">
        <v>408</v>
      </c>
      <c r="N190" s="187">
        <v>657.22938499999998</v>
      </c>
      <c r="O190" s="186">
        <f t="shared" si="8"/>
        <v>17255.350475918724</v>
      </c>
      <c r="P190" s="186">
        <f t="shared" si="9"/>
        <v>5351.6745055123274</v>
      </c>
      <c r="Q190" s="215">
        <f>IF(P190="-",0,P190/(1+'General inputs'!$H$30)^'MP Calculations'!$C$40)</f>
        <v>11887.615740484631</v>
      </c>
    </row>
    <row r="191" spans="3:17" x14ac:dyDescent="0.25">
      <c r="C191" s="159"/>
      <c r="D191" s="165" t="s">
        <v>284</v>
      </c>
      <c r="E191" s="162">
        <v>28425</v>
      </c>
      <c r="F191" s="166" t="str">
        <f t="shared" si="7"/>
        <v>Date check - OK</v>
      </c>
      <c r="G191" s="68"/>
      <c r="H191" s="162" t="s">
        <v>279</v>
      </c>
      <c r="I191" s="173">
        <v>89592.114709699614</v>
      </c>
      <c r="J191" s="168">
        <f>IFERROR(MIN('MP Calculations'!$E$30/I191,1),"-")</f>
        <v>0.31014580161562261</v>
      </c>
      <c r="K191" s="12"/>
      <c r="L191" s="159">
        <v>13.496268000000001</v>
      </c>
      <c r="M191" s="187" t="s">
        <v>408</v>
      </c>
      <c r="N191" s="187">
        <v>304.56971499999997</v>
      </c>
      <c r="O191" s="186">
        <f t="shared" si="8"/>
        <v>4110.5544983236196</v>
      </c>
      <c r="P191" s="186">
        <f t="shared" si="9"/>
        <v>1274.8712199672825</v>
      </c>
      <c r="Q191" s="215">
        <f>IF(P191="-",0,P191/(1+'General inputs'!$H$30)^'MP Calculations'!$C$40)</f>
        <v>2831.8574244311358</v>
      </c>
    </row>
    <row r="192" spans="3:17" x14ac:dyDescent="0.25">
      <c r="C192" s="159"/>
      <c r="D192" s="165" t="s">
        <v>283</v>
      </c>
      <c r="E192" s="162">
        <v>28491</v>
      </c>
      <c r="F192" s="166" t="str">
        <f t="shared" si="7"/>
        <v>Date check - OK</v>
      </c>
      <c r="G192" s="68"/>
      <c r="H192" s="162" t="s">
        <v>279</v>
      </c>
      <c r="I192" s="173">
        <v>89592.114709699614</v>
      </c>
      <c r="J192" s="168">
        <f>IFERROR(MIN('MP Calculations'!$E$30/I192,1),"-")</f>
        <v>0.31014580161562261</v>
      </c>
      <c r="K192" s="12"/>
      <c r="L192" s="159">
        <v>12.998794999999999</v>
      </c>
      <c r="M192" s="187" t="s">
        <v>408</v>
      </c>
      <c r="N192" s="187">
        <v>480.89954999999998</v>
      </c>
      <c r="O192" s="186">
        <f t="shared" si="8"/>
        <v>6251.1146660422492</v>
      </c>
      <c r="P192" s="186">
        <f t="shared" si="9"/>
        <v>1938.7569690908483</v>
      </c>
      <c r="Q192" s="215">
        <f>IF(P192="-",0,P192/(1+'General inputs'!$H$30)^'MP Calculations'!$C$40)</f>
        <v>4306.5395399140189</v>
      </c>
    </row>
    <row r="193" spans="3:17" x14ac:dyDescent="0.25">
      <c r="C193" s="159"/>
      <c r="D193" s="165" t="s">
        <v>287</v>
      </c>
      <c r="E193" s="162">
        <v>28491</v>
      </c>
      <c r="F193" s="166" t="str">
        <f t="shared" si="7"/>
        <v>Date check - OK</v>
      </c>
      <c r="G193" s="68"/>
      <c r="H193" s="162" t="s">
        <v>279</v>
      </c>
      <c r="I193" s="173">
        <v>89592.114709699614</v>
      </c>
      <c r="J193" s="168">
        <f>IFERROR(MIN('MP Calculations'!$E$30/I193,1),"-")</f>
        <v>0.31014580161562261</v>
      </c>
      <c r="K193" s="12"/>
      <c r="L193" s="159">
        <v>81.997191999999998</v>
      </c>
      <c r="M193" s="187" t="s">
        <v>408</v>
      </c>
      <c r="N193" s="187">
        <v>833.55921999999998</v>
      </c>
      <c r="O193" s="186">
        <f t="shared" si="8"/>
        <v>68349.515405710234</v>
      </c>
      <c r="P193" s="186">
        <f t="shared" si="9"/>
        <v>21198.315245543348</v>
      </c>
      <c r="Q193" s="215">
        <f>IF(P193="-",0,P193/(1+'General inputs'!$H$30)^'MP Calculations'!$C$40)</f>
        <v>47087.584591535655</v>
      </c>
    </row>
    <row r="194" spans="3:17" x14ac:dyDescent="0.25">
      <c r="C194" s="159"/>
      <c r="D194" s="165" t="s">
        <v>287</v>
      </c>
      <c r="E194" s="162">
        <v>28491</v>
      </c>
      <c r="F194" s="166" t="str">
        <f t="shared" si="7"/>
        <v>Date check - OK</v>
      </c>
      <c r="G194" s="68"/>
      <c r="H194" s="162" t="s">
        <v>279</v>
      </c>
      <c r="I194" s="173">
        <v>89592.114709699614</v>
      </c>
      <c r="J194" s="168">
        <f>IFERROR(MIN('MP Calculations'!$E$30/I194,1),"-")</f>
        <v>0.31014580161562261</v>
      </c>
      <c r="K194" s="12"/>
      <c r="L194" s="159">
        <v>56.545931000000003</v>
      </c>
      <c r="M194" s="187" t="s">
        <v>408</v>
      </c>
      <c r="N194" s="187">
        <v>833.55921999999998</v>
      </c>
      <c r="O194" s="186">
        <f t="shared" si="8"/>
        <v>47134.382138533823</v>
      </c>
      <c r="P194" s="186">
        <f t="shared" si="9"/>
        <v>14618.530732012658</v>
      </c>
      <c r="Q194" s="215">
        <f>IF(P194="-",0,P194/(1+'General inputs'!$H$30)^'MP Calculations'!$C$40)</f>
        <v>32471.981592609154</v>
      </c>
    </row>
    <row r="195" spans="3:17" x14ac:dyDescent="0.25">
      <c r="C195" s="159"/>
      <c r="D195" s="165" t="s">
        <v>313</v>
      </c>
      <c r="E195" s="162">
        <v>28491</v>
      </c>
      <c r="F195" s="166" t="str">
        <f t="shared" si="7"/>
        <v>Date check - OK</v>
      </c>
      <c r="G195" s="68"/>
      <c r="H195" s="162" t="s">
        <v>279</v>
      </c>
      <c r="I195" s="173">
        <v>89592.114709699614</v>
      </c>
      <c r="J195" s="168">
        <f>IFERROR(MIN('MP Calculations'!$E$30/I195,1),"-")</f>
        <v>0.31014580161562261</v>
      </c>
      <c r="K195" s="12"/>
      <c r="L195" s="159">
        <v>272.16081000000003</v>
      </c>
      <c r="M195" s="187" t="s">
        <v>408</v>
      </c>
      <c r="N195" s="187">
        <v>219.07646199999999</v>
      </c>
      <c r="O195" s="186">
        <f t="shared" si="8"/>
        <v>59624.027349854223</v>
      </c>
      <c r="P195" s="186">
        <f t="shared" si="9"/>
        <v>18492.141757972346</v>
      </c>
      <c r="Q195" s="215">
        <f>IF(P195="-",0,P195/(1+'General inputs'!$H$30)^'MP Calculations'!$C$40)</f>
        <v>41076.39117642874</v>
      </c>
    </row>
    <row r="196" spans="3:17" x14ac:dyDescent="0.25">
      <c r="C196" s="159"/>
      <c r="D196" s="165" t="s">
        <v>311</v>
      </c>
      <c r="E196" s="162">
        <v>28856</v>
      </c>
      <c r="F196" s="166" t="str">
        <f t="shared" si="7"/>
        <v>Date check - OK</v>
      </c>
      <c r="G196" s="68"/>
      <c r="H196" s="162" t="s">
        <v>279</v>
      </c>
      <c r="I196" s="173">
        <v>89592.114709699614</v>
      </c>
      <c r="J196" s="168">
        <f>IFERROR(MIN('MP Calculations'!$E$30/I196,1),"-")</f>
        <v>0.31014580161562261</v>
      </c>
      <c r="K196" s="12"/>
      <c r="L196" s="159">
        <v>79.426295999999994</v>
      </c>
      <c r="M196" s="187" t="s">
        <v>408</v>
      </c>
      <c r="N196" s="187">
        <v>1715.208396</v>
      </c>
      <c r="O196" s="186">
        <f t="shared" si="8"/>
        <v>136232.64976238122</v>
      </c>
      <c r="P196" s="186">
        <f t="shared" si="9"/>
        <v>42251.984366774079</v>
      </c>
      <c r="Q196" s="215">
        <f>IF(P196="-",0,P196/(1+'General inputs'!$H$30)^'MP Calculations'!$C$40)</f>
        <v>93853.86833743735</v>
      </c>
    </row>
    <row r="197" spans="3:17" x14ac:dyDescent="0.25">
      <c r="C197" s="159"/>
      <c r="D197" s="165" t="s">
        <v>311</v>
      </c>
      <c r="E197" s="162">
        <v>28856</v>
      </c>
      <c r="F197" s="166" t="str">
        <f t="shared" si="7"/>
        <v>Date check - OK</v>
      </c>
      <c r="G197" s="68"/>
      <c r="H197" s="162" t="s">
        <v>279</v>
      </c>
      <c r="I197" s="173">
        <v>89592.114709699614</v>
      </c>
      <c r="J197" s="168">
        <f>IFERROR(MIN('MP Calculations'!$E$30/I197,1),"-")</f>
        <v>0.31014580161562261</v>
      </c>
      <c r="K197" s="12"/>
      <c r="L197" s="159">
        <v>36.846550000000001</v>
      </c>
      <c r="M197" s="187" t="s">
        <v>408</v>
      </c>
      <c r="N197" s="187">
        <v>1715.208396</v>
      </c>
      <c r="O197" s="186">
        <f t="shared" si="8"/>
        <v>63199.5119236338</v>
      </c>
      <c r="P197" s="186">
        <f t="shared" si="9"/>
        <v>19601.063287271503</v>
      </c>
      <c r="Q197" s="215">
        <f>IF(P197="-",0,P197/(1+'General inputs'!$H$30)^'MP Calculations'!$C$40)</f>
        <v>43539.626377501001</v>
      </c>
    </row>
    <row r="198" spans="3:17" x14ac:dyDescent="0.25">
      <c r="C198" s="159"/>
      <c r="D198" s="165" t="s">
        <v>311</v>
      </c>
      <c r="E198" s="162">
        <v>28856</v>
      </c>
      <c r="F198" s="166" t="str">
        <f t="shared" si="7"/>
        <v>Date check - OK</v>
      </c>
      <c r="G198" s="68"/>
      <c r="H198" s="162" t="s">
        <v>279</v>
      </c>
      <c r="I198" s="173">
        <v>89592.114709699614</v>
      </c>
      <c r="J198" s="168">
        <f>IFERROR(MIN('MP Calculations'!$E$30/I198,1),"-")</f>
        <v>0.31014580161562261</v>
      </c>
      <c r="K198" s="12"/>
      <c r="L198" s="159">
        <v>132.50131999999999</v>
      </c>
      <c r="M198" s="187" t="s">
        <v>408</v>
      </c>
      <c r="N198" s="187">
        <v>1715.208396</v>
      </c>
      <c r="O198" s="186">
        <f t="shared" si="8"/>
        <v>227267.37654508272</v>
      </c>
      <c r="P198" s="186">
        <f t="shared" si="9"/>
        <v>70486.022679654227</v>
      </c>
      <c r="Q198" s="215">
        <f>IF(P198="-",0,P198/(1+'General inputs'!$H$30)^'MP Calculations'!$C$40)</f>
        <v>156569.82722468456</v>
      </c>
    </row>
    <row r="199" spans="3:17" x14ac:dyDescent="0.25">
      <c r="C199" s="159"/>
      <c r="D199" s="165" t="s">
        <v>311</v>
      </c>
      <c r="E199" s="162">
        <v>28856</v>
      </c>
      <c r="F199" s="166" t="str">
        <f t="shared" si="7"/>
        <v>Date check - OK</v>
      </c>
      <c r="G199" s="68"/>
      <c r="H199" s="162" t="s">
        <v>279</v>
      </c>
      <c r="I199" s="173">
        <v>89592.114709699614</v>
      </c>
      <c r="J199" s="168">
        <f>IFERROR(MIN('MP Calculations'!$E$30/I199,1),"-")</f>
        <v>0.31014580161562261</v>
      </c>
      <c r="K199" s="12"/>
      <c r="L199" s="159">
        <v>52.424160999999998</v>
      </c>
      <c r="M199" s="187" t="s">
        <v>408</v>
      </c>
      <c r="N199" s="187">
        <v>1715.208396</v>
      </c>
      <c r="O199" s="186">
        <f t="shared" si="8"/>
        <v>89918.361100455746</v>
      </c>
      <c r="P199" s="186">
        <f t="shared" si="9"/>
        <v>27887.802183463864</v>
      </c>
      <c r="Q199" s="215">
        <f>IF(P199="-",0,P199/(1+'General inputs'!$H$30)^'MP Calculations'!$C$40)</f>
        <v>61946.86837964366</v>
      </c>
    </row>
    <row r="200" spans="3:17" x14ac:dyDescent="0.25">
      <c r="C200" s="159"/>
      <c r="D200" s="165" t="s">
        <v>311</v>
      </c>
      <c r="E200" s="162">
        <v>28856</v>
      </c>
      <c r="F200" s="166" t="str">
        <f t="shared" si="7"/>
        <v>Date check - OK</v>
      </c>
      <c r="G200" s="68"/>
      <c r="H200" s="162" t="s">
        <v>279</v>
      </c>
      <c r="I200" s="173">
        <v>89592.114709699614</v>
      </c>
      <c r="J200" s="168">
        <f>IFERROR(MIN('MP Calculations'!$E$30/I200,1),"-")</f>
        <v>0.31014580161562261</v>
      </c>
      <c r="K200" s="12"/>
      <c r="L200" s="159">
        <v>105.01054000000001</v>
      </c>
      <c r="M200" s="187" t="s">
        <v>408</v>
      </c>
      <c r="N200" s="187">
        <v>1715.208396</v>
      </c>
      <c r="O200" s="186">
        <f t="shared" si="8"/>
        <v>180114.95987649384</v>
      </c>
      <c r="P200" s="186">
        <f t="shared" si="9"/>
        <v>55861.898613860882</v>
      </c>
      <c r="Q200" s="215">
        <f>IF(P200="-",0,P200/(1+'General inputs'!$H$30)^'MP Calculations'!$C$40)</f>
        <v>124085.42122124389</v>
      </c>
    </row>
    <row r="201" spans="3:17" x14ac:dyDescent="0.25">
      <c r="C201" s="159"/>
      <c r="D201" s="165" t="s">
        <v>306</v>
      </c>
      <c r="E201" s="162">
        <v>28856</v>
      </c>
      <c r="F201" s="166" t="str">
        <f t="shared" si="7"/>
        <v>Date check - OK</v>
      </c>
      <c r="G201" s="68"/>
      <c r="H201" s="162" t="s">
        <v>279</v>
      </c>
      <c r="I201" s="173">
        <v>89592.114709699614</v>
      </c>
      <c r="J201" s="168">
        <f>IFERROR(MIN('MP Calculations'!$E$30/I201,1),"-")</f>
        <v>0.31014580161562261</v>
      </c>
      <c r="K201" s="12"/>
      <c r="L201" s="159">
        <v>13.465864</v>
      </c>
      <c r="M201" s="187" t="s">
        <v>408</v>
      </c>
      <c r="N201" s="187">
        <v>1362.548726</v>
      </c>
      <c r="O201" s="186">
        <f t="shared" si="8"/>
        <v>18347.895837689262</v>
      </c>
      <c r="P201" s="186">
        <f t="shared" si="9"/>
        <v>5690.5228625400814</v>
      </c>
      <c r="Q201" s="215">
        <f>IF(P201="-",0,P201/(1+'General inputs'!$H$30)^'MP Calculations'!$C$40)</f>
        <v>12640.295870505892</v>
      </c>
    </row>
    <row r="202" spans="3:17" x14ac:dyDescent="0.25">
      <c r="C202" s="159"/>
      <c r="D202" s="165" t="s">
        <v>306</v>
      </c>
      <c r="E202" s="162">
        <v>28856</v>
      </c>
      <c r="F202" s="166" t="str">
        <f t="shared" si="7"/>
        <v>Date check - OK</v>
      </c>
      <c r="G202" s="68"/>
      <c r="H202" s="162" t="s">
        <v>279</v>
      </c>
      <c r="I202" s="173">
        <v>89592.114709699614</v>
      </c>
      <c r="J202" s="168">
        <f>IFERROR(MIN('MP Calculations'!$E$30/I202,1),"-")</f>
        <v>0.31014580161562261</v>
      </c>
      <c r="K202" s="12"/>
      <c r="L202" s="159">
        <v>3.9566720000000002</v>
      </c>
      <c r="M202" s="187" t="s">
        <v>408</v>
      </c>
      <c r="N202" s="187">
        <v>1362.548726</v>
      </c>
      <c r="O202" s="186">
        <f t="shared" si="8"/>
        <v>5391.1583927998718</v>
      </c>
      <c r="P202" s="186">
        <f t="shared" si="9"/>
        <v>1672.0451413717078</v>
      </c>
      <c r="Q202" s="215">
        <f>IF(P202="-",0,P202/(1+'General inputs'!$H$30)^'MP Calculations'!$C$40)</f>
        <v>3714.0954893459711</v>
      </c>
    </row>
    <row r="203" spans="3:17" x14ac:dyDescent="0.25">
      <c r="C203" s="159"/>
      <c r="D203" s="165" t="s">
        <v>306</v>
      </c>
      <c r="E203" s="162">
        <v>28856</v>
      </c>
      <c r="F203" s="166" t="str">
        <f t="shared" si="7"/>
        <v>Date check - OK</v>
      </c>
      <c r="G203" s="68"/>
      <c r="H203" s="162" t="s">
        <v>279</v>
      </c>
      <c r="I203" s="173">
        <v>89592.114709699614</v>
      </c>
      <c r="J203" s="168">
        <f>IFERROR(MIN('MP Calculations'!$E$30/I203,1),"-")</f>
        <v>0.31014580161562261</v>
      </c>
      <c r="K203" s="12"/>
      <c r="L203" s="159">
        <v>6.0248369999999998</v>
      </c>
      <c r="M203" s="187" t="s">
        <v>408</v>
      </c>
      <c r="N203" s="187">
        <v>1362.548726</v>
      </c>
      <c r="O203" s="186">
        <f t="shared" si="8"/>
        <v>8209.1339787076613</v>
      </c>
      <c r="P203" s="186">
        <f t="shared" si="9"/>
        <v>2546.0284383963331</v>
      </c>
      <c r="Q203" s="215">
        <f>IF(P203="-",0,P203/(1+'General inputs'!$H$30)^'MP Calculations'!$C$40)</f>
        <v>5655.4649780787267</v>
      </c>
    </row>
    <row r="204" spans="3:17" x14ac:dyDescent="0.25">
      <c r="C204" s="159"/>
      <c r="D204" s="165" t="s">
        <v>282</v>
      </c>
      <c r="E204" s="162">
        <v>28856</v>
      </c>
      <c r="F204" s="166" t="str">
        <f t="shared" si="7"/>
        <v>Date check - OK</v>
      </c>
      <c r="G204" s="68"/>
      <c r="H204" s="162" t="s">
        <v>279</v>
      </c>
      <c r="I204" s="173">
        <v>89592.114709699614</v>
      </c>
      <c r="J204" s="168">
        <f>IFERROR(MIN('MP Calculations'!$E$30/I204,1),"-")</f>
        <v>0.31014580161562261</v>
      </c>
      <c r="K204" s="12"/>
      <c r="L204" s="159">
        <v>26.937937000000002</v>
      </c>
      <c r="M204" s="187" t="s">
        <v>408</v>
      </c>
      <c r="N204" s="187">
        <v>1009.889055</v>
      </c>
      <c r="O204" s="186">
        <f t="shared" si="8"/>
        <v>27204.327740579538</v>
      </c>
      <c r="P204" s="186">
        <f t="shared" si="9"/>
        <v>8437.3080345161598</v>
      </c>
      <c r="Q204" s="215">
        <f>IF(P204="-",0,P204/(1+'General inputs'!$H$30)^'MP Calculations'!$C$40)</f>
        <v>18741.699573679485</v>
      </c>
    </row>
    <row r="205" spans="3:17" x14ac:dyDescent="0.25">
      <c r="C205" s="159"/>
      <c r="D205" s="165" t="s">
        <v>294</v>
      </c>
      <c r="E205" s="162">
        <v>28856</v>
      </c>
      <c r="F205" s="166" t="str">
        <f t="shared" si="7"/>
        <v>Date check - OK</v>
      </c>
      <c r="G205" s="68"/>
      <c r="H205" s="162" t="s">
        <v>279</v>
      </c>
      <c r="I205" s="173">
        <v>89592.114709699614</v>
      </c>
      <c r="J205" s="168">
        <f>IFERROR(MIN('MP Calculations'!$E$30/I205,1),"-")</f>
        <v>0.31014580161562261</v>
      </c>
      <c r="K205" s="12"/>
      <c r="L205" s="159">
        <v>92.392201</v>
      </c>
      <c r="M205" s="187" t="s">
        <v>408</v>
      </c>
      <c r="N205" s="187">
        <v>1186.218891</v>
      </c>
      <c r="O205" s="186">
        <f t="shared" si="8"/>
        <v>109597.37420726909</v>
      </c>
      <c r="P205" s="186">
        <f t="shared" si="9"/>
        <v>33991.165478480834</v>
      </c>
      <c r="Q205" s="215">
        <f>IF(P205="-",0,P205/(1+'General inputs'!$H$30)^'MP Calculations'!$C$40)</f>
        <v>75504.202163865295</v>
      </c>
    </row>
    <row r="206" spans="3:17" x14ac:dyDescent="0.25">
      <c r="C206" s="159"/>
      <c r="D206" s="165" t="s">
        <v>294</v>
      </c>
      <c r="E206" s="162">
        <v>28856</v>
      </c>
      <c r="F206" s="166" t="str">
        <f t="shared" si="7"/>
        <v>Date check - OK</v>
      </c>
      <c r="G206" s="68"/>
      <c r="H206" s="162" t="s">
        <v>279</v>
      </c>
      <c r="I206" s="173">
        <v>89592.114709699614</v>
      </c>
      <c r="J206" s="168">
        <f>IFERROR(MIN('MP Calculations'!$E$30/I206,1),"-")</f>
        <v>0.31014580161562261</v>
      </c>
      <c r="K206" s="12"/>
      <c r="L206" s="159">
        <v>63.264935999999999</v>
      </c>
      <c r="M206" s="187" t="s">
        <v>408</v>
      </c>
      <c r="N206" s="187">
        <v>1186.218891</v>
      </c>
      <c r="O206" s="186">
        <f t="shared" si="8"/>
        <v>75046.062221105967</v>
      </c>
      <c r="P206" s="186">
        <f t="shared" si="9"/>
        <v>23275.221125660802</v>
      </c>
      <c r="Q206" s="215">
        <f>IF(P206="-",0,P206/(1+'General inputs'!$H$30)^'MP Calculations'!$C$40)</f>
        <v>51700.992788644558</v>
      </c>
    </row>
    <row r="207" spans="3:17" x14ac:dyDescent="0.25">
      <c r="C207" s="159"/>
      <c r="D207" s="165" t="s">
        <v>293</v>
      </c>
      <c r="E207" s="162">
        <v>28856</v>
      </c>
      <c r="F207" s="166" t="str">
        <f t="shared" si="7"/>
        <v>Date check - OK</v>
      </c>
      <c r="G207" s="68"/>
      <c r="H207" s="162" t="s">
        <v>279</v>
      </c>
      <c r="I207" s="173">
        <v>89592.114709699614</v>
      </c>
      <c r="J207" s="168">
        <f>IFERROR(MIN('MP Calculations'!$E$30/I207,1),"-")</f>
        <v>0.31014580161562261</v>
      </c>
      <c r="K207" s="12"/>
      <c r="L207" s="159">
        <v>114.62869600000001</v>
      </c>
      <c r="M207" s="187" t="s">
        <v>408</v>
      </c>
      <c r="N207" s="187">
        <v>1009.889055</v>
      </c>
      <c r="O207" s="186">
        <f t="shared" si="8"/>
        <v>115762.26547932229</v>
      </c>
      <c r="P207" s="186">
        <f t="shared" si="9"/>
        <v>35903.180623924927</v>
      </c>
      <c r="Q207" s="215">
        <f>IF(P207="-",0,P207/(1+'General inputs'!$H$30)^'MP Calculations'!$C$40)</f>
        <v>79751.340384923882</v>
      </c>
    </row>
    <row r="208" spans="3:17" x14ac:dyDescent="0.25">
      <c r="C208" s="159"/>
      <c r="D208" s="165" t="s">
        <v>294</v>
      </c>
      <c r="E208" s="162">
        <v>28856</v>
      </c>
      <c r="F208" s="166" t="str">
        <f t="shared" si="7"/>
        <v>Date check - OK</v>
      </c>
      <c r="G208" s="68"/>
      <c r="H208" s="162" t="s">
        <v>279</v>
      </c>
      <c r="I208" s="173">
        <v>89592.114709699614</v>
      </c>
      <c r="J208" s="168">
        <f>IFERROR(MIN('MP Calculations'!$E$30/I208,1),"-")</f>
        <v>0.31014580161562261</v>
      </c>
      <c r="K208" s="12"/>
      <c r="L208" s="159">
        <v>152.687995</v>
      </c>
      <c r="M208" s="187" t="s">
        <v>408</v>
      </c>
      <c r="N208" s="187">
        <v>1186.218891</v>
      </c>
      <c r="O208" s="186">
        <f t="shared" si="8"/>
        <v>181121.38409791354</v>
      </c>
      <c r="P208" s="186">
        <f t="shared" si="9"/>
        <v>56174.036860778477</v>
      </c>
      <c r="Q208" s="215">
        <f>IF(P208="-",0,P208/(1+'General inputs'!$H$30)^'MP Calculations'!$C$40)</f>
        <v>124778.77047733989</v>
      </c>
    </row>
    <row r="209" spans="3:17" x14ac:dyDescent="0.25">
      <c r="C209" s="159"/>
      <c r="D209" s="165" t="s">
        <v>293</v>
      </c>
      <c r="E209" s="162">
        <v>28856</v>
      </c>
      <c r="F209" s="166" t="str">
        <f t="shared" si="7"/>
        <v>Date check - OK</v>
      </c>
      <c r="G209" s="68"/>
      <c r="H209" s="162" t="s">
        <v>279</v>
      </c>
      <c r="I209" s="173">
        <v>89592.114709699614</v>
      </c>
      <c r="J209" s="168">
        <f>IFERROR(MIN('MP Calculations'!$E$30/I209,1),"-")</f>
        <v>0.31014580161562261</v>
      </c>
      <c r="K209" s="12"/>
      <c r="L209" s="159">
        <v>100.413561</v>
      </c>
      <c r="M209" s="187" t="s">
        <v>408</v>
      </c>
      <c r="N209" s="187">
        <v>1009.889055</v>
      </c>
      <c r="O209" s="186">
        <f t="shared" si="8"/>
        <v>101406.55622747485</v>
      </c>
      <c r="P209" s="186">
        <f t="shared" si="9"/>
        <v>31450.817670249893</v>
      </c>
      <c r="Q209" s="215">
        <f>IF(P209="-",0,P209/(1+'General inputs'!$H$30)^'MP Calculations'!$C$40)</f>
        <v>69861.355507117667</v>
      </c>
    </row>
    <row r="210" spans="3:17" x14ac:dyDescent="0.25">
      <c r="C210" s="159"/>
      <c r="D210" s="165" t="s">
        <v>283</v>
      </c>
      <c r="E210" s="162">
        <v>28856</v>
      </c>
      <c r="F210" s="166" t="str">
        <f t="shared" si="7"/>
        <v>Date check - OK</v>
      </c>
      <c r="G210" s="68"/>
      <c r="H210" s="162" t="s">
        <v>279</v>
      </c>
      <c r="I210" s="173">
        <v>89592.114709699614</v>
      </c>
      <c r="J210" s="168">
        <f>IFERROR(MIN('MP Calculations'!$E$30/I210,1),"-")</f>
        <v>0.31014580161562261</v>
      </c>
      <c r="K210" s="12"/>
      <c r="L210" s="159">
        <v>49.688544</v>
      </c>
      <c r="M210" s="187" t="s">
        <v>408</v>
      </c>
      <c r="N210" s="187">
        <v>480.89954999999998</v>
      </c>
      <c r="O210" s="186">
        <f t="shared" si="8"/>
        <v>23895.1984497552</v>
      </c>
      <c r="P210" s="186">
        <f t="shared" si="9"/>
        <v>7410.9954779637092</v>
      </c>
      <c r="Q210" s="215">
        <f>IF(P210="-",0,P210/(1+'General inputs'!$H$30)^'MP Calculations'!$C$40)</f>
        <v>16461.962775530927</v>
      </c>
    </row>
    <row r="211" spans="3:17" x14ac:dyDescent="0.25">
      <c r="C211" s="159"/>
      <c r="D211" s="165" t="s">
        <v>283</v>
      </c>
      <c r="E211" s="162">
        <v>28856</v>
      </c>
      <c r="F211" s="166" t="str">
        <f t="shared" si="7"/>
        <v>Date check - OK</v>
      </c>
      <c r="G211" s="68"/>
      <c r="H211" s="162" t="s">
        <v>279</v>
      </c>
      <c r="I211" s="173">
        <v>89592.114709699614</v>
      </c>
      <c r="J211" s="168">
        <f>IFERROR(MIN('MP Calculations'!$E$30/I211,1),"-")</f>
        <v>0.31014580161562261</v>
      </c>
      <c r="K211" s="12"/>
      <c r="L211" s="159">
        <v>14.398963999999999</v>
      </c>
      <c r="M211" s="187" t="s">
        <v>408</v>
      </c>
      <c r="N211" s="187">
        <v>480.89954999999998</v>
      </c>
      <c r="O211" s="186">
        <f t="shared" si="8"/>
        <v>6924.455308066199</v>
      </c>
      <c r="P211" s="186">
        <f t="shared" si="9"/>
        <v>2147.5907422717441</v>
      </c>
      <c r="Q211" s="215">
        <f>IF(P211="-",0,P211/(1+'General inputs'!$H$30)^'MP Calculations'!$C$40)</f>
        <v>4770.4197042724745</v>
      </c>
    </row>
    <row r="212" spans="3:17" x14ac:dyDescent="0.25">
      <c r="C212" s="159"/>
      <c r="D212" s="165" t="s">
        <v>283</v>
      </c>
      <c r="E212" s="162">
        <v>28856</v>
      </c>
      <c r="F212" s="166" t="str">
        <f t="shared" si="7"/>
        <v>Date check - OK</v>
      </c>
      <c r="G212" s="68"/>
      <c r="H212" s="162" t="s">
        <v>279</v>
      </c>
      <c r="I212" s="173">
        <v>89592.114709699614</v>
      </c>
      <c r="J212" s="168">
        <f>IFERROR(MIN('MP Calculations'!$E$30/I212,1),"-")</f>
        <v>0.31014580161562261</v>
      </c>
      <c r="K212" s="12"/>
      <c r="L212" s="159">
        <v>13.712714</v>
      </c>
      <c r="M212" s="187" t="s">
        <v>408</v>
      </c>
      <c r="N212" s="187">
        <v>480.89954999999998</v>
      </c>
      <c r="O212" s="186">
        <f t="shared" si="8"/>
        <v>6594.4379918786999</v>
      </c>
      <c r="P212" s="186">
        <f t="shared" si="9"/>
        <v>2045.237257195736</v>
      </c>
      <c r="Q212" s="215">
        <f>IF(P212="-",0,P212/(1+'General inputs'!$H$30)^'MP Calculations'!$C$40)</f>
        <v>4543.0630331913489</v>
      </c>
    </row>
    <row r="213" spans="3:17" x14ac:dyDescent="0.25">
      <c r="C213" s="159"/>
      <c r="D213" s="165" t="s">
        <v>283</v>
      </c>
      <c r="E213" s="162">
        <v>28856</v>
      </c>
      <c r="F213" s="166" t="str">
        <f t="shared" si="7"/>
        <v>Date check - OK</v>
      </c>
      <c r="G213" s="68"/>
      <c r="H213" s="162" t="s">
        <v>279</v>
      </c>
      <c r="I213" s="173">
        <v>89592.114709699614</v>
      </c>
      <c r="J213" s="168">
        <f>IFERROR(MIN('MP Calculations'!$E$30/I213,1),"-")</f>
        <v>0.31014580161562261</v>
      </c>
      <c r="K213" s="12"/>
      <c r="L213" s="159">
        <v>20.780359000000001</v>
      </c>
      <c r="M213" s="187" t="s">
        <v>408</v>
      </c>
      <c r="N213" s="187">
        <v>480.89954999999998</v>
      </c>
      <c r="O213" s="186">
        <f t="shared" si="8"/>
        <v>9993.2652919384491</v>
      </c>
      <c r="P213" s="186">
        <f t="shared" si="9"/>
        <v>3099.3692747258292</v>
      </c>
      <c r="Q213" s="215">
        <f>IF(P213="-",0,P213/(1+'General inputs'!$H$30)^'MP Calculations'!$C$40)</f>
        <v>6884.5948941504312</v>
      </c>
    </row>
    <row r="214" spans="3:17" x14ac:dyDescent="0.25">
      <c r="C214" s="159"/>
      <c r="D214" s="165" t="s">
        <v>288</v>
      </c>
      <c r="E214" s="162">
        <v>28856</v>
      </c>
      <c r="F214" s="166" t="str">
        <f t="shared" si="7"/>
        <v>Date check - OK</v>
      </c>
      <c r="G214" s="68"/>
      <c r="H214" s="162" t="s">
        <v>279</v>
      </c>
      <c r="I214" s="173">
        <v>89592.114709699614</v>
      </c>
      <c r="J214" s="168">
        <f>IFERROR(MIN('MP Calculations'!$E$30/I214,1),"-")</f>
        <v>0.31014580161562261</v>
      </c>
      <c r="K214" s="12"/>
      <c r="L214" s="159">
        <v>7.5200389999999997</v>
      </c>
      <c r="M214" s="187" t="s">
        <v>408</v>
      </c>
      <c r="N214" s="187">
        <v>480.89954999999998</v>
      </c>
      <c r="O214" s="186">
        <f t="shared" si="8"/>
        <v>3616.3833710824497</v>
      </c>
      <c r="P214" s="186">
        <f t="shared" si="9"/>
        <v>1121.6061195737739</v>
      </c>
      <c r="Q214" s="215">
        <f>IF(P214="-",0,P214/(1+'General inputs'!$H$30)^'MP Calculations'!$C$40)</f>
        <v>2491.4113419894293</v>
      </c>
    </row>
    <row r="215" spans="3:17" x14ac:dyDescent="0.25">
      <c r="C215" s="159"/>
      <c r="D215" s="165" t="s">
        <v>311</v>
      </c>
      <c r="E215" s="162">
        <v>28856</v>
      </c>
      <c r="F215" s="166" t="str">
        <f t="shared" ref="F215:F278" si="10">IF(E215="","-",IF(OR(E215&lt;$E$15,E215&gt;$E$16),"ERROR - date outside of range","Date check - OK"))</f>
        <v>Date check - OK</v>
      </c>
      <c r="G215" s="68"/>
      <c r="H215" s="162" t="s">
        <v>279</v>
      </c>
      <c r="I215" s="173">
        <v>89592.114709699614</v>
      </c>
      <c r="J215" s="168">
        <f>IFERROR(MIN('MP Calculations'!$E$30/I215,1),"-")</f>
        <v>0.31014580161562261</v>
      </c>
      <c r="K215" s="12"/>
      <c r="L215" s="159">
        <v>107.995172</v>
      </c>
      <c r="M215" s="187" t="s">
        <v>408</v>
      </c>
      <c r="N215" s="187">
        <v>1715.208396</v>
      </c>
      <c r="O215" s="186">
        <f t="shared" ref="O215:O278" si="11">IF(N215="","-",L215*N215)</f>
        <v>185234.22574186409</v>
      </c>
      <c r="P215" s="186">
        <f t="shared" ref="P215:P278" si="12">IF(O215="-","-",IF(OR(E215&lt;$E$15,E215&gt;$E$16),0,O215*J215))</f>
        <v>57449.617429359634</v>
      </c>
      <c r="Q215" s="215">
        <f>IF(P215="-",0,P215/(1+'General inputs'!$H$30)^'MP Calculations'!$C$40)</f>
        <v>127612.20357004814</v>
      </c>
    </row>
    <row r="216" spans="3:17" x14ac:dyDescent="0.25">
      <c r="C216" s="159"/>
      <c r="D216" s="165" t="s">
        <v>311</v>
      </c>
      <c r="E216" s="162">
        <v>28856</v>
      </c>
      <c r="F216" s="166" t="str">
        <f t="shared" si="10"/>
        <v>Date check - OK</v>
      </c>
      <c r="G216" s="68"/>
      <c r="H216" s="162" t="s">
        <v>279</v>
      </c>
      <c r="I216" s="173">
        <v>89592.114709699614</v>
      </c>
      <c r="J216" s="168">
        <f>IFERROR(MIN('MP Calculations'!$E$30/I216,1),"-")</f>
        <v>0.31014580161562261</v>
      </c>
      <c r="K216" s="12"/>
      <c r="L216" s="159">
        <v>23.848233</v>
      </c>
      <c r="M216" s="187" t="s">
        <v>408</v>
      </c>
      <c r="N216" s="187">
        <v>1715.208396</v>
      </c>
      <c r="O216" s="186">
        <f t="shared" si="11"/>
        <v>40904.689471364269</v>
      </c>
      <c r="P216" s="186">
        <f t="shared" si="12"/>
        <v>12686.417705934389</v>
      </c>
      <c r="Q216" s="215">
        <f>IF(P216="-",0,P216/(1+'General inputs'!$H$30)^'MP Calculations'!$C$40)</f>
        <v>28180.200170262615</v>
      </c>
    </row>
    <row r="217" spans="3:17" x14ac:dyDescent="0.25">
      <c r="C217" s="159"/>
      <c r="D217" s="165" t="s">
        <v>314</v>
      </c>
      <c r="E217" s="162">
        <v>29036</v>
      </c>
      <c r="F217" s="166" t="str">
        <f t="shared" si="10"/>
        <v>Date check - OK</v>
      </c>
      <c r="G217" s="68"/>
      <c r="H217" s="162" t="s">
        <v>279</v>
      </c>
      <c r="I217" s="173">
        <v>89592.114709699614</v>
      </c>
      <c r="J217" s="168">
        <f>IFERROR(MIN('MP Calculations'!$E$30/I217,1),"-")</f>
        <v>0.31014580161562261</v>
      </c>
      <c r="K217" s="12"/>
      <c r="L217" s="159">
        <v>1</v>
      </c>
      <c r="M217" s="187" t="s">
        <v>409</v>
      </c>
      <c r="N217" s="187">
        <v>59120.142282000001</v>
      </c>
      <c r="O217" s="186">
        <f t="shared" si="11"/>
        <v>59120.142282000001</v>
      </c>
      <c r="P217" s="186">
        <f t="shared" si="12"/>
        <v>18335.863919680552</v>
      </c>
      <c r="Q217" s="215">
        <f>IF(P217="-",0,P217/(1+'General inputs'!$H$30)^'MP Calculations'!$C$40)</f>
        <v>40729.252932416908</v>
      </c>
    </row>
    <row r="218" spans="3:17" x14ac:dyDescent="0.25">
      <c r="C218" s="159"/>
      <c r="D218" s="165" t="s">
        <v>315</v>
      </c>
      <c r="E218" s="162">
        <v>29036</v>
      </c>
      <c r="F218" s="166" t="str">
        <f t="shared" si="10"/>
        <v>Date check - OK</v>
      </c>
      <c r="G218" s="68"/>
      <c r="H218" s="162" t="s">
        <v>279</v>
      </c>
      <c r="I218" s="173">
        <v>89592.114709699614</v>
      </c>
      <c r="J218" s="168">
        <f>IFERROR(MIN('MP Calculations'!$E$30/I218,1),"-")</f>
        <v>0.31014580161562261</v>
      </c>
      <c r="K218" s="12"/>
      <c r="L218" s="159">
        <v>1</v>
      </c>
      <c r="M218" s="187" t="s">
        <v>409</v>
      </c>
      <c r="N218" s="187">
        <v>40454.254389000002</v>
      </c>
      <c r="O218" s="186">
        <f t="shared" si="11"/>
        <v>40454.254389000002</v>
      </c>
      <c r="P218" s="186">
        <f t="shared" si="12"/>
        <v>12546.717156238725</v>
      </c>
      <c r="Q218" s="215">
        <f>IF(P218="-",0,P218/(1+'General inputs'!$H$30)^'MP Calculations'!$C$40)</f>
        <v>27869.884875151525</v>
      </c>
    </row>
    <row r="219" spans="3:17" x14ac:dyDescent="0.25">
      <c r="C219" s="159"/>
      <c r="D219" s="165" t="s">
        <v>292</v>
      </c>
      <c r="E219" s="162">
        <v>29168</v>
      </c>
      <c r="F219" s="166" t="str">
        <f t="shared" si="10"/>
        <v>Date check - OK</v>
      </c>
      <c r="G219" s="68"/>
      <c r="H219" s="162" t="s">
        <v>279</v>
      </c>
      <c r="I219" s="173">
        <v>89592.114709699614</v>
      </c>
      <c r="J219" s="168">
        <f>IFERROR(MIN('MP Calculations'!$E$30/I219,1),"-")</f>
        <v>0.31014580161562261</v>
      </c>
      <c r="K219" s="12"/>
      <c r="L219" s="159">
        <v>3.5573229999999998</v>
      </c>
      <c r="M219" s="187" t="s">
        <v>408</v>
      </c>
      <c r="N219" s="187">
        <v>356.22188899999998</v>
      </c>
      <c r="O219" s="186">
        <f t="shared" si="11"/>
        <v>1267.1963188431469</v>
      </c>
      <c r="P219" s="186">
        <f t="shared" si="12"/>
        <v>393.01561811197388</v>
      </c>
      <c r="Q219" s="215">
        <f>IF(P219="-",0,P219/(1+'General inputs'!$H$30)^'MP Calculations'!$C$40)</f>
        <v>873.00127152948642</v>
      </c>
    </row>
    <row r="220" spans="3:17" x14ac:dyDescent="0.25">
      <c r="C220" s="159"/>
      <c r="D220" s="165" t="s">
        <v>292</v>
      </c>
      <c r="E220" s="162">
        <v>29168</v>
      </c>
      <c r="F220" s="166" t="str">
        <f t="shared" si="10"/>
        <v>Date check - OK</v>
      </c>
      <c r="G220" s="68"/>
      <c r="H220" s="162" t="s">
        <v>279</v>
      </c>
      <c r="I220" s="173">
        <v>89592.114709699614</v>
      </c>
      <c r="J220" s="168">
        <f>IFERROR(MIN('MP Calculations'!$E$30/I220,1),"-")</f>
        <v>0.31014580161562261</v>
      </c>
      <c r="K220" s="12"/>
      <c r="L220" s="159">
        <v>35.220692</v>
      </c>
      <c r="M220" s="187" t="s">
        <v>408</v>
      </c>
      <c r="N220" s="187">
        <v>356.22188899999998</v>
      </c>
      <c r="O220" s="186">
        <f t="shared" si="11"/>
        <v>12546.381436127187</v>
      </c>
      <c r="P220" s="186">
        <f t="shared" si="12"/>
        <v>3891.207527883033</v>
      </c>
      <c r="Q220" s="215">
        <f>IF(P220="-",0,P220/(1+'General inputs'!$H$30)^'MP Calculations'!$C$40)</f>
        <v>8643.496500078405</v>
      </c>
    </row>
    <row r="221" spans="3:17" x14ac:dyDescent="0.25">
      <c r="C221" s="159"/>
      <c r="D221" s="165" t="s">
        <v>292</v>
      </c>
      <c r="E221" s="162">
        <v>29168</v>
      </c>
      <c r="F221" s="166" t="str">
        <f t="shared" si="10"/>
        <v>Date check - OK</v>
      </c>
      <c r="G221" s="68"/>
      <c r="H221" s="162" t="s">
        <v>279</v>
      </c>
      <c r="I221" s="173">
        <v>89592.114709699614</v>
      </c>
      <c r="J221" s="168">
        <f>IFERROR(MIN('MP Calculations'!$E$30/I221,1),"-")</f>
        <v>0.31014580161562261</v>
      </c>
      <c r="K221" s="12"/>
      <c r="L221" s="159">
        <v>3.2185480000000002</v>
      </c>
      <c r="M221" s="187" t="s">
        <v>408</v>
      </c>
      <c r="N221" s="187">
        <v>356.22188899999998</v>
      </c>
      <c r="O221" s="186">
        <f t="shared" si="11"/>
        <v>1146.5172483971719</v>
      </c>
      <c r="P221" s="186">
        <f t="shared" si="12"/>
        <v>355.58751107027877</v>
      </c>
      <c r="Q221" s="215">
        <f>IF(P221="-",0,P221/(1+'General inputs'!$H$30)^'MP Calculations'!$C$40)</f>
        <v>789.86262885846622</v>
      </c>
    </row>
    <row r="222" spans="3:17" x14ac:dyDescent="0.25">
      <c r="C222" s="159"/>
      <c r="D222" s="165" t="s">
        <v>292</v>
      </c>
      <c r="E222" s="162">
        <v>29168</v>
      </c>
      <c r="F222" s="166" t="str">
        <f t="shared" si="10"/>
        <v>Date check - OK</v>
      </c>
      <c r="G222" s="68"/>
      <c r="H222" s="162" t="s">
        <v>279</v>
      </c>
      <c r="I222" s="173">
        <v>89592.114709699614</v>
      </c>
      <c r="J222" s="168">
        <f>IFERROR(MIN('MP Calculations'!$E$30/I222,1),"-")</f>
        <v>0.31014580161562261</v>
      </c>
      <c r="K222" s="12"/>
      <c r="L222" s="159">
        <v>15.332798</v>
      </c>
      <c r="M222" s="187" t="s">
        <v>408</v>
      </c>
      <c r="N222" s="187">
        <v>356.22188899999998</v>
      </c>
      <c r="O222" s="186">
        <f t="shared" si="11"/>
        <v>5461.8782672154221</v>
      </c>
      <c r="P222" s="186">
        <f t="shared" si="12"/>
        <v>1693.9786135124748</v>
      </c>
      <c r="Q222" s="215">
        <f>IF(P222="-",0,P222/(1+'General inputs'!$H$30)^'MP Calculations'!$C$40)</f>
        <v>3762.8160698662359</v>
      </c>
    </row>
    <row r="223" spans="3:17" x14ac:dyDescent="0.25">
      <c r="C223" s="159"/>
      <c r="D223" s="165" t="s">
        <v>292</v>
      </c>
      <c r="E223" s="162">
        <v>29168</v>
      </c>
      <c r="F223" s="166" t="str">
        <f t="shared" si="10"/>
        <v>Date check - OK</v>
      </c>
      <c r="G223" s="68"/>
      <c r="H223" s="162" t="s">
        <v>279</v>
      </c>
      <c r="I223" s="173">
        <v>89592.114709699614</v>
      </c>
      <c r="J223" s="168">
        <f>IFERROR(MIN('MP Calculations'!$E$30/I223,1),"-")</f>
        <v>0.31014580161562261</v>
      </c>
      <c r="K223" s="12"/>
      <c r="L223" s="159">
        <v>30.022265999999998</v>
      </c>
      <c r="M223" s="187" t="s">
        <v>408</v>
      </c>
      <c r="N223" s="187">
        <v>356.22188899999998</v>
      </c>
      <c r="O223" s="186">
        <f t="shared" si="11"/>
        <v>10694.588306580472</v>
      </c>
      <c r="P223" s="186">
        <f t="shared" si="12"/>
        <v>3316.8816632934645</v>
      </c>
      <c r="Q223" s="215">
        <f>IF(P223="-",0,P223/(1+'General inputs'!$H$30)^'MP Calculations'!$C$40)</f>
        <v>7367.7527714510234</v>
      </c>
    </row>
    <row r="224" spans="3:17" x14ac:dyDescent="0.25">
      <c r="C224" s="159"/>
      <c r="D224" s="165" t="s">
        <v>283</v>
      </c>
      <c r="E224" s="162">
        <v>29221</v>
      </c>
      <c r="F224" s="166" t="str">
        <f t="shared" si="10"/>
        <v>Date check - OK</v>
      </c>
      <c r="G224" s="68"/>
      <c r="H224" s="162" t="s">
        <v>279</v>
      </c>
      <c r="I224" s="173">
        <v>89592.114709699614</v>
      </c>
      <c r="J224" s="168">
        <f>IFERROR(MIN('MP Calculations'!$E$30/I224,1),"-")</f>
        <v>0.31014580161562261</v>
      </c>
      <c r="K224" s="12"/>
      <c r="L224" s="159">
        <v>10.327216</v>
      </c>
      <c r="M224" s="187" t="s">
        <v>408</v>
      </c>
      <c r="N224" s="187">
        <v>480.89954999999998</v>
      </c>
      <c r="O224" s="186">
        <f t="shared" si="11"/>
        <v>4966.3535271527999</v>
      </c>
      <c r="P224" s="186">
        <f t="shared" si="12"/>
        <v>1540.2936957853799</v>
      </c>
      <c r="Q224" s="215">
        <f>IF(P224="-",0,P224/(1+'General inputs'!$H$30)^'MP Calculations'!$C$40)</f>
        <v>3421.4374517970864</v>
      </c>
    </row>
    <row r="225" spans="3:17" x14ac:dyDescent="0.25">
      <c r="C225" s="159"/>
      <c r="D225" s="165" t="s">
        <v>283</v>
      </c>
      <c r="E225" s="162">
        <v>29221</v>
      </c>
      <c r="F225" s="166" t="str">
        <f t="shared" si="10"/>
        <v>Date check - OK</v>
      </c>
      <c r="G225" s="68"/>
      <c r="H225" s="162" t="s">
        <v>279</v>
      </c>
      <c r="I225" s="173">
        <v>89592.114709699614</v>
      </c>
      <c r="J225" s="168">
        <f>IFERROR(MIN('MP Calculations'!$E$30/I225,1),"-")</f>
        <v>0.31014580161562261</v>
      </c>
      <c r="K225" s="12"/>
      <c r="L225" s="159">
        <v>44.076847999999998</v>
      </c>
      <c r="M225" s="187" t="s">
        <v>408</v>
      </c>
      <c r="N225" s="187">
        <v>480.89954999999998</v>
      </c>
      <c r="O225" s="186">
        <f t="shared" si="11"/>
        <v>21196.536368618399</v>
      </c>
      <c r="P225" s="186">
        <f t="shared" si="12"/>
        <v>6574.0167635198513</v>
      </c>
      <c r="Q225" s="215">
        <f>IF(P225="-",0,P225/(1+'General inputs'!$H$30)^'MP Calculations'!$C$40)</f>
        <v>14602.791159240543</v>
      </c>
    </row>
    <row r="226" spans="3:17" x14ac:dyDescent="0.25">
      <c r="C226" s="159"/>
      <c r="D226" s="165" t="s">
        <v>283</v>
      </c>
      <c r="E226" s="162">
        <v>29221</v>
      </c>
      <c r="F226" s="166" t="str">
        <f t="shared" si="10"/>
        <v>Date check - OK</v>
      </c>
      <c r="G226" s="68"/>
      <c r="H226" s="162" t="s">
        <v>279</v>
      </c>
      <c r="I226" s="173">
        <v>89592.114709699614</v>
      </c>
      <c r="J226" s="168">
        <f>IFERROR(MIN('MP Calculations'!$E$30/I226,1),"-")</f>
        <v>0.31014580161562261</v>
      </c>
      <c r="K226" s="12"/>
      <c r="L226" s="159">
        <v>11.998003000000001</v>
      </c>
      <c r="M226" s="187" t="s">
        <v>408</v>
      </c>
      <c r="N226" s="187">
        <v>480.89954999999998</v>
      </c>
      <c r="O226" s="186">
        <f t="shared" si="11"/>
        <v>5769.8342435986497</v>
      </c>
      <c r="P226" s="186">
        <f t="shared" si="12"/>
        <v>1789.4898666701727</v>
      </c>
      <c r="Q226" s="215">
        <f>IF(P226="-",0,P226/(1+'General inputs'!$H$30)^'MP Calculations'!$C$40)</f>
        <v>3974.9741664136582</v>
      </c>
    </row>
    <row r="227" spans="3:17" x14ac:dyDescent="0.25">
      <c r="C227" s="159"/>
      <c r="D227" s="165" t="s">
        <v>283</v>
      </c>
      <c r="E227" s="162">
        <v>29221</v>
      </c>
      <c r="F227" s="166" t="str">
        <f t="shared" si="10"/>
        <v>Date check - OK</v>
      </c>
      <c r="G227" s="68"/>
      <c r="H227" s="162" t="s">
        <v>279</v>
      </c>
      <c r="I227" s="173">
        <v>89592.114709699614</v>
      </c>
      <c r="J227" s="168">
        <f>IFERROR(MIN('MP Calculations'!$E$30/I227,1),"-")</f>
        <v>0.31014580161562261</v>
      </c>
      <c r="K227" s="12"/>
      <c r="L227" s="159">
        <v>5.9976039999999999</v>
      </c>
      <c r="M227" s="187" t="s">
        <v>408</v>
      </c>
      <c r="N227" s="187">
        <v>480.89954999999998</v>
      </c>
      <c r="O227" s="186">
        <f t="shared" si="11"/>
        <v>2884.2450646781999</v>
      </c>
      <c r="P227" s="186">
        <f t="shared" si="12"/>
        <v>894.53649764052363</v>
      </c>
      <c r="Q227" s="215">
        <f>IF(P227="-",0,P227/(1+'General inputs'!$H$30)^'MP Calculations'!$C$40)</f>
        <v>1987.0240872901286</v>
      </c>
    </row>
    <row r="228" spans="3:17" x14ac:dyDescent="0.25">
      <c r="C228" s="159"/>
      <c r="D228" s="165" t="s">
        <v>283</v>
      </c>
      <c r="E228" s="162">
        <v>29221</v>
      </c>
      <c r="F228" s="166" t="str">
        <f t="shared" si="10"/>
        <v>Date check - OK</v>
      </c>
      <c r="G228" s="68"/>
      <c r="H228" s="162" t="s">
        <v>279</v>
      </c>
      <c r="I228" s="173">
        <v>89592.114709699614</v>
      </c>
      <c r="J228" s="168">
        <f>IFERROR(MIN('MP Calculations'!$E$30/I228,1),"-")</f>
        <v>0.31014580161562261</v>
      </c>
      <c r="K228" s="12"/>
      <c r="L228" s="159">
        <v>5.9976039999999999</v>
      </c>
      <c r="M228" s="187" t="s">
        <v>408</v>
      </c>
      <c r="N228" s="187">
        <v>480.89954999999998</v>
      </c>
      <c r="O228" s="186">
        <f t="shared" si="11"/>
        <v>2884.2450646781999</v>
      </c>
      <c r="P228" s="186">
        <f t="shared" si="12"/>
        <v>894.53649764052363</v>
      </c>
      <c r="Q228" s="215">
        <f>IF(P228="-",0,P228/(1+'General inputs'!$H$30)^'MP Calculations'!$C$40)</f>
        <v>1987.0240872901286</v>
      </c>
    </row>
    <row r="229" spans="3:17" x14ac:dyDescent="0.25">
      <c r="C229" s="159"/>
      <c r="D229" s="165" t="s">
        <v>283</v>
      </c>
      <c r="E229" s="162">
        <v>29221</v>
      </c>
      <c r="F229" s="166" t="str">
        <f t="shared" si="10"/>
        <v>Date check - OK</v>
      </c>
      <c r="G229" s="68"/>
      <c r="H229" s="162" t="s">
        <v>279</v>
      </c>
      <c r="I229" s="173">
        <v>89592.114709699614</v>
      </c>
      <c r="J229" s="168">
        <f>IFERROR(MIN('MP Calculations'!$E$30/I229,1),"-")</f>
        <v>0.31014580161562261</v>
      </c>
      <c r="K229" s="12"/>
      <c r="L229" s="159">
        <v>11.987208000000001</v>
      </c>
      <c r="M229" s="187" t="s">
        <v>408</v>
      </c>
      <c r="N229" s="187">
        <v>480.89954999999998</v>
      </c>
      <c r="O229" s="186">
        <f t="shared" si="11"/>
        <v>5764.6429329563998</v>
      </c>
      <c r="P229" s="186">
        <f t="shared" si="12"/>
        <v>1787.8798034695965</v>
      </c>
      <c r="Q229" s="215">
        <f>IF(P229="-",0,P229/(1+'General inputs'!$H$30)^'MP Calculations'!$C$40)</f>
        <v>3971.3977507279451</v>
      </c>
    </row>
    <row r="230" spans="3:17" x14ac:dyDescent="0.25">
      <c r="C230" s="159"/>
      <c r="D230" s="165" t="s">
        <v>284</v>
      </c>
      <c r="E230" s="162">
        <v>29524</v>
      </c>
      <c r="F230" s="166" t="str">
        <f t="shared" si="10"/>
        <v>Date check - OK</v>
      </c>
      <c r="G230" s="68"/>
      <c r="H230" s="162" t="s">
        <v>279</v>
      </c>
      <c r="I230" s="173">
        <v>89592.114709699614</v>
      </c>
      <c r="J230" s="168">
        <f>IFERROR(MIN('MP Calculations'!$E$30/I230,1),"-")</f>
        <v>0.31014580161562261</v>
      </c>
      <c r="K230" s="12"/>
      <c r="L230" s="159">
        <v>20.996936999999999</v>
      </c>
      <c r="M230" s="187" t="s">
        <v>408</v>
      </c>
      <c r="N230" s="187">
        <v>304.56971499999997</v>
      </c>
      <c r="O230" s="186">
        <f t="shared" si="11"/>
        <v>6395.0311179629543</v>
      </c>
      <c r="P230" s="186">
        <f t="shared" si="12"/>
        <v>1983.3920524374716</v>
      </c>
      <c r="Q230" s="215">
        <f>IF(P230="-",0,P230/(1+'General inputs'!$H$30)^'MP Calculations'!$C$40)</f>
        <v>4405.6869598145813</v>
      </c>
    </row>
    <row r="231" spans="3:17" x14ac:dyDescent="0.25">
      <c r="C231" s="159"/>
      <c r="D231" s="165" t="s">
        <v>281</v>
      </c>
      <c r="E231" s="162">
        <v>29587</v>
      </c>
      <c r="F231" s="166" t="str">
        <f t="shared" si="10"/>
        <v>Date check - OK</v>
      </c>
      <c r="G231" s="68"/>
      <c r="H231" s="162" t="s">
        <v>279</v>
      </c>
      <c r="I231" s="173">
        <v>89592.114709699614</v>
      </c>
      <c r="J231" s="168">
        <f>IFERROR(MIN('MP Calculations'!$E$30/I231,1),"-")</f>
        <v>0.31014580161562261</v>
      </c>
      <c r="K231" s="12"/>
      <c r="L231" s="159">
        <v>13.897501</v>
      </c>
      <c r="M231" s="187" t="s">
        <v>408</v>
      </c>
      <c r="N231" s="187">
        <v>657.22938499999998</v>
      </c>
      <c r="O231" s="186">
        <f t="shared" si="11"/>
        <v>9133.8460352668844</v>
      </c>
      <c r="P231" s="186">
        <f t="shared" si="12"/>
        <v>2832.8240004415243</v>
      </c>
      <c r="Q231" s="215">
        <f>IF(P231="-",0,P231/(1+'General inputs'!$H$30)^'MP Calculations'!$C$40)</f>
        <v>6292.5208068960237</v>
      </c>
    </row>
    <row r="232" spans="3:17" x14ac:dyDescent="0.25">
      <c r="C232" s="159"/>
      <c r="D232" s="165" t="s">
        <v>284</v>
      </c>
      <c r="E232" s="162">
        <v>29587</v>
      </c>
      <c r="F232" s="166" t="str">
        <f t="shared" si="10"/>
        <v>Date check - OK</v>
      </c>
      <c r="G232" s="68"/>
      <c r="H232" s="162" t="s">
        <v>279</v>
      </c>
      <c r="I232" s="173">
        <v>89592.114709699614</v>
      </c>
      <c r="J232" s="168">
        <f>IFERROR(MIN('MP Calculations'!$E$30/I232,1),"-")</f>
        <v>0.31014580161562261</v>
      </c>
      <c r="K232" s="12"/>
      <c r="L232" s="159">
        <v>11.195363</v>
      </c>
      <c r="M232" s="187" t="s">
        <v>408</v>
      </c>
      <c r="N232" s="187">
        <v>304.56971499999997</v>
      </c>
      <c r="O232" s="186">
        <f t="shared" si="11"/>
        <v>3409.7685182315449</v>
      </c>
      <c r="P232" s="186">
        <f t="shared" si="12"/>
        <v>1057.5253904106362</v>
      </c>
      <c r="Q232" s="215">
        <f>IF(P232="-",0,P232/(1+'General inputs'!$H$30)^'MP Calculations'!$C$40)</f>
        <v>2349.0695228304326</v>
      </c>
    </row>
    <row r="233" spans="3:17" x14ac:dyDescent="0.25">
      <c r="C233" s="159"/>
      <c r="D233" s="165" t="s">
        <v>283</v>
      </c>
      <c r="E233" s="162">
        <v>29587</v>
      </c>
      <c r="F233" s="166" t="str">
        <f t="shared" si="10"/>
        <v>Date check - OK</v>
      </c>
      <c r="G233" s="68"/>
      <c r="H233" s="162" t="s">
        <v>279</v>
      </c>
      <c r="I233" s="173">
        <v>89592.114709699614</v>
      </c>
      <c r="J233" s="168">
        <f>IFERROR(MIN('MP Calculations'!$E$30/I233,1),"-")</f>
        <v>0.31014580161562261</v>
      </c>
      <c r="K233" s="12"/>
      <c r="L233" s="159">
        <v>13.65293</v>
      </c>
      <c r="M233" s="187" t="s">
        <v>408</v>
      </c>
      <c r="N233" s="187">
        <v>480.89954999999998</v>
      </c>
      <c r="O233" s="186">
        <f t="shared" si="11"/>
        <v>6565.687893181499</v>
      </c>
      <c r="P233" s="186">
        <f t="shared" si="12"/>
        <v>2036.3205347887645</v>
      </c>
      <c r="Q233" s="215">
        <f>IF(P233="-",0,P233/(1+'General inputs'!$H$30)^'MP Calculations'!$C$40)</f>
        <v>4523.2564157430215</v>
      </c>
    </row>
    <row r="234" spans="3:17" x14ac:dyDescent="0.25">
      <c r="C234" s="159"/>
      <c r="D234" s="165" t="s">
        <v>294</v>
      </c>
      <c r="E234" s="162">
        <v>29587</v>
      </c>
      <c r="F234" s="166" t="str">
        <f t="shared" si="10"/>
        <v>Date check - OK</v>
      </c>
      <c r="G234" s="68"/>
      <c r="H234" s="162" t="s">
        <v>279</v>
      </c>
      <c r="I234" s="173">
        <v>89592.114709699614</v>
      </c>
      <c r="J234" s="168">
        <f>IFERROR(MIN('MP Calculations'!$E$30/I234,1),"-")</f>
        <v>0.31014580161562261</v>
      </c>
      <c r="K234" s="12"/>
      <c r="L234" s="159">
        <v>148.11975000000001</v>
      </c>
      <c r="M234" s="187" t="s">
        <v>408</v>
      </c>
      <c r="N234" s="187">
        <v>1186.218891</v>
      </c>
      <c r="O234" s="186">
        <f t="shared" si="11"/>
        <v>175702.44558019727</v>
      </c>
      <c r="P234" s="186">
        <f t="shared" si="12"/>
        <v>54493.37583029559</v>
      </c>
      <c r="Q234" s="215">
        <f>IF(P234="-",0,P234/(1+'General inputs'!$H$30)^'MP Calculations'!$C$40)</f>
        <v>121045.53660823804</v>
      </c>
    </row>
    <row r="235" spans="3:17" x14ac:dyDescent="0.25">
      <c r="C235" s="159"/>
      <c r="D235" s="165" t="s">
        <v>294</v>
      </c>
      <c r="E235" s="162">
        <v>29587</v>
      </c>
      <c r="F235" s="166" t="str">
        <f t="shared" si="10"/>
        <v>Date check - OK</v>
      </c>
      <c r="G235" s="68"/>
      <c r="H235" s="162" t="s">
        <v>279</v>
      </c>
      <c r="I235" s="173">
        <v>89592.114709699614</v>
      </c>
      <c r="J235" s="168">
        <f>IFERROR(MIN('MP Calculations'!$E$30/I235,1),"-")</f>
        <v>0.31014580161562261</v>
      </c>
      <c r="K235" s="12"/>
      <c r="L235" s="159">
        <v>19.435936999999999</v>
      </c>
      <c r="M235" s="187" t="s">
        <v>408</v>
      </c>
      <c r="N235" s="187">
        <v>1186.218891</v>
      </c>
      <c r="O235" s="186">
        <f t="shared" si="11"/>
        <v>23055.275633685866</v>
      </c>
      <c r="P235" s="186">
        <f t="shared" si="12"/>
        <v>7150.4969428786344</v>
      </c>
      <c r="Q235" s="215">
        <f>IF(P235="-",0,P235/(1+'General inputs'!$H$30)^'MP Calculations'!$C$40)</f>
        <v>15883.320243579319</v>
      </c>
    </row>
    <row r="236" spans="3:17" x14ac:dyDescent="0.25">
      <c r="C236" s="159"/>
      <c r="D236" s="165" t="s">
        <v>283</v>
      </c>
      <c r="E236" s="162">
        <v>29587</v>
      </c>
      <c r="F236" s="166" t="str">
        <f t="shared" si="10"/>
        <v>Date check - OK</v>
      </c>
      <c r="G236" s="68"/>
      <c r="H236" s="162" t="s">
        <v>279</v>
      </c>
      <c r="I236" s="173">
        <v>89592.114709699614</v>
      </c>
      <c r="J236" s="168">
        <f>IFERROR(MIN('MP Calculations'!$E$30/I236,1),"-")</f>
        <v>0.31014580161562261</v>
      </c>
      <c r="K236" s="12"/>
      <c r="L236" s="159">
        <v>29.176697999999998</v>
      </c>
      <c r="M236" s="187" t="s">
        <v>408</v>
      </c>
      <c r="N236" s="187">
        <v>480.89954999999998</v>
      </c>
      <c r="O236" s="186">
        <f t="shared" si="11"/>
        <v>14031.060938685898</v>
      </c>
      <c r="P236" s="186">
        <f t="shared" si="12"/>
        <v>4351.6746423463883</v>
      </c>
      <c r="Q236" s="215">
        <f>IF(P236="-",0,P236/(1+'General inputs'!$H$30)^'MP Calculations'!$C$40)</f>
        <v>9666.3270388624715</v>
      </c>
    </row>
    <row r="237" spans="3:17" x14ac:dyDescent="0.25">
      <c r="C237" s="159"/>
      <c r="D237" s="165" t="s">
        <v>283</v>
      </c>
      <c r="E237" s="162">
        <v>29587</v>
      </c>
      <c r="F237" s="166" t="str">
        <f t="shared" si="10"/>
        <v>Date check - OK</v>
      </c>
      <c r="G237" s="68"/>
      <c r="H237" s="162" t="s">
        <v>279</v>
      </c>
      <c r="I237" s="173">
        <v>89592.114709699614</v>
      </c>
      <c r="J237" s="168">
        <f>IFERROR(MIN('MP Calculations'!$E$30/I237,1),"-")</f>
        <v>0.31014580161562261</v>
      </c>
      <c r="K237" s="12"/>
      <c r="L237" s="159">
        <v>6.9975149999999999</v>
      </c>
      <c r="M237" s="187" t="s">
        <v>408</v>
      </c>
      <c r="N237" s="187">
        <v>480.89954999999998</v>
      </c>
      <c r="O237" s="186">
        <f t="shared" si="11"/>
        <v>3365.1018146182496</v>
      </c>
      <c r="P237" s="186">
        <f t="shared" si="12"/>
        <v>1043.6721998129633</v>
      </c>
      <c r="Q237" s="215">
        <f>IF(P237="-",0,P237/(1+'General inputs'!$H$30)^'MP Calculations'!$C$40)</f>
        <v>2318.2975828637541</v>
      </c>
    </row>
    <row r="238" spans="3:17" x14ac:dyDescent="0.25">
      <c r="C238" s="159"/>
      <c r="D238" s="165" t="s">
        <v>283</v>
      </c>
      <c r="E238" s="162">
        <v>29587</v>
      </c>
      <c r="F238" s="166" t="str">
        <f t="shared" si="10"/>
        <v>Date check - OK</v>
      </c>
      <c r="G238" s="68"/>
      <c r="H238" s="162" t="s">
        <v>279</v>
      </c>
      <c r="I238" s="173">
        <v>89592.114709699614</v>
      </c>
      <c r="J238" s="168">
        <f>IFERROR(MIN('MP Calculations'!$E$30/I238,1),"-")</f>
        <v>0.31014580161562261</v>
      </c>
      <c r="K238" s="12"/>
      <c r="L238" s="159">
        <v>14.102762999999999</v>
      </c>
      <c r="M238" s="187" t="s">
        <v>408</v>
      </c>
      <c r="N238" s="187">
        <v>480.89954999999998</v>
      </c>
      <c r="O238" s="186">
        <f t="shared" si="11"/>
        <v>6782.0123804566492</v>
      </c>
      <c r="P238" s="186">
        <f t="shared" si="12"/>
        <v>2103.4126663038041</v>
      </c>
      <c r="Q238" s="215">
        <f>IF(P238="-",0,P238/(1+'General inputs'!$H$30)^'MP Calculations'!$C$40)</f>
        <v>4672.2874298376464</v>
      </c>
    </row>
    <row r="239" spans="3:17" x14ac:dyDescent="0.25">
      <c r="C239" s="159"/>
      <c r="D239" s="165" t="s">
        <v>300</v>
      </c>
      <c r="E239" s="162">
        <v>29587</v>
      </c>
      <c r="F239" s="166" t="str">
        <f t="shared" si="10"/>
        <v>Date check - OK</v>
      </c>
      <c r="G239" s="68"/>
      <c r="H239" s="162" t="s">
        <v>279</v>
      </c>
      <c r="I239" s="173">
        <v>89592.114709699614</v>
      </c>
      <c r="J239" s="168">
        <f>IFERROR(MIN('MP Calculations'!$E$30/I239,1),"-")</f>
        <v>0.31014580161562261</v>
      </c>
      <c r="K239" s="12"/>
      <c r="L239" s="159">
        <v>56.646982000000001</v>
      </c>
      <c r="M239" s="187" t="s">
        <v>408</v>
      </c>
      <c r="N239" s="187">
        <v>657.22938499999998</v>
      </c>
      <c r="O239" s="186">
        <f t="shared" si="11"/>
        <v>37230.061141966071</v>
      </c>
      <c r="P239" s="186">
        <f t="shared" si="12"/>
        <v>11546.747157073709</v>
      </c>
      <c r="Q239" s="215">
        <f>IF(P239="-",0,P239/(1+'General inputs'!$H$30)^'MP Calculations'!$C$40)</f>
        <v>25648.662510106278</v>
      </c>
    </row>
    <row r="240" spans="3:17" x14ac:dyDescent="0.25">
      <c r="C240" s="159"/>
      <c r="D240" s="165" t="s">
        <v>283</v>
      </c>
      <c r="E240" s="162">
        <v>29587</v>
      </c>
      <c r="F240" s="166" t="str">
        <f t="shared" si="10"/>
        <v>Date check - OK</v>
      </c>
      <c r="G240" s="68"/>
      <c r="H240" s="162" t="s">
        <v>279</v>
      </c>
      <c r="I240" s="173">
        <v>89592.114709699614</v>
      </c>
      <c r="J240" s="168">
        <f>IFERROR(MIN('MP Calculations'!$E$30/I240,1),"-")</f>
        <v>0.31014580161562261</v>
      </c>
      <c r="K240" s="12"/>
      <c r="L240" s="159">
        <v>7.5238399999999999</v>
      </c>
      <c r="M240" s="187" t="s">
        <v>408</v>
      </c>
      <c r="N240" s="187">
        <v>480.89954999999998</v>
      </c>
      <c r="O240" s="186">
        <f t="shared" si="11"/>
        <v>3618.2112702719996</v>
      </c>
      <c r="P240" s="186">
        <f t="shared" si="12"/>
        <v>1122.1730348331894</v>
      </c>
      <c r="Q240" s="215">
        <f>IF(P240="-",0,P240/(1+'General inputs'!$H$30)^'MP Calculations'!$C$40)</f>
        <v>2492.6706246222589</v>
      </c>
    </row>
    <row r="241" spans="3:17" x14ac:dyDescent="0.25">
      <c r="C241" s="159"/>
      <c r="D241" s="165" t="s">
        <v>283</v>
      </c>
      <c r="E241" s="162">
        <v>29587</v>
      </c>
      <c r="F241" s="166" t="str">
        <f t="shared" si="10"/>
        <v>Date check - OK</v>
      </c>
      <c r="G241" s="68"/>
      <c r="H241" s="162" t="s">
        <v>279</v>
      </c>
      <c r="I241" s="173">
        <v>89592.114709699614</v>
      </c>
      <c r="J241" s="168">
        <f>IFERROR(MIN('MP Calculations'!$E$30/I241,1),"-")</f>
        <v>0.31014580161562261</v>
      </c>
      <c r="K241" s="12"/>
      <c r="L241" s="159">
        <v>14.473025</v>
      </c>
      <c r="M241" s="187" t="s">
        <v>408</v>
      </c>
      <c r="N241" s="187">
        <v>480.89954999999998</v>
      </c>
      <c r="O241" s="186">
        <f t="shared" si="11"/>
        <v>6960.0712096387497</v>
      </c>
      <c r="P241" s="186">
        <f t="shared" si="12"/>
        <v>2158.6368646152259</v>
      </c>
      <c r="Q241" s="215">
        <f>IF(P241="-",0,P241/(1+'General inputs'!$H$30)^'MP Calculations'!$C$40)</f>
        <v>4794.9563343882337</v>
      </c>
    </row>
    <row r="242" spans="3:17" x14ac:dyDescent="0.25">
      <c r="C242" s="159"/>
      <c r="D242" s="165" t="s">
        <v>283</v>
      </c>
      <c r="E242" s="162">
        <v>29587</v>
      </c>
      <c r="F242" s="166" t="str">
        <f t="shared" si="10"/>
        <v>Date check - OK</v>
      </c>
      <c r="G242" s="68"/>
      <c r="H242" s="162" t="s">
        <v>279</v>
      </c>
      <c r="I242" s="173">
        <v>89592.114709699614</v>
      </c>
      <c r="J242" s="168">
        <f>IFERROR(MIN('MP Calculations'!$E$30/I242,1),"-")</f>
        <v>0.31014580161562261</v>
      </c>
      <c r="K242" s="12"/>
      <c r="L242" s="159">
        <v>28.813511999999999</v>
      </c>
      <c r="M242" s="187" t="s">
        <v>408</v>
      </c>
      <c r="N242" s="187">
        <v>480.89954999999998</v>
      </c>
      <c r="O242" s="186">
        <f t="shared" si="11"/>
        <v>13856.404954719599</v>
      </c>
      <c r="P242" s="186">
        <f t="shared" si="12"/>
        <v>4297.5058221921945</v>
      </c>
      <c r="Q242" s="215">
        <f>IF(P242="-",0,P242/(1+'General inputs'!$H$30)^'MP Calculations'!$C$40)</f>
        <v>9546.0024342092529</v>
      </c>
    </row>
    <row r="243" spans="3:17" x14ac:dyDescent="0.25">
      <c r="C243" s="159"/>
      <c r="D243" s="165" t="s">
        <v>283</v>
      </c>
      <c r="E243" s="162">
        <v>29587</v>
      </c>
      <c r="F243" s="166" t="str">
        <f t="shared" si="10"/>
        <v>Date check - OK</v>
      </c>
      <c r="G243" s="68"/>
      <c r="H243" s="162" t="s">
        <v>279</v>
      </c>
      <c r="I243" s="173">
        <v>89592.114709699614</v>
      </c>
      <c r="J243" s="168">
        <f>IFERROR(MIN('MP Calculations'!$E$30/I243,1),"-")</f>
        <v>0.31014580161562261</v>
      </c>
      <c r="K243" s="12"/>
      <c r="L243" s="159">
        <v>36.363567000000003</v>
      </c>
      <c r="M243" s="187" t="s">
        <v>408</v>
      </c>
      <c r="N243" s="187">
        <v>480.89954999999998</v>
      </c>
      <c r="O243" s="186">
        <f t="shared" si="11"/>
        <v>17487.22300669485</v>
      </c>
      <c r="P243" s="186">
        <f t="shared" si="12"/>
        <v>5423.5887974425323</v>
      </c>
      <c r="Q243" s="215">
        <f>IF(P243="-",0,P243/(1+'General inputs'!$H$30)^'MP Calculations'!$C$40)</f>
        <v>12047.358166492559</v>
      </c>
    </row>
    <row r="244" spans="3:17" x14ac:dyDescent="0.25">
      <c r="C244" s="159"/>
      <c r="D244" s="165" t="s">
        <v>293</v>
      </c>
      <c r="E244" s="162">
        <v>29587</v>
      </c>
      <c r="F244" s="166" t="str">
        <f t="shared" si="10"/>
        <v>Date check - OK</v>
      </c>
      <c r="G244" s="68"/>
      <c r="H244" s="162" t="s">
        <v>279</v>
      </c>
      <c r="I244" s="173">
        <v>89592.114709699614</v>
      </c>
      <c r="J244" s="168">
        <f>IFERROR(MIN('MP Calculations'!$E$30/I244,1),"-")</f>
        <v>0.31014580161562261</v>
      </c>
      <c r="K244" s="12"/>
      <c r="L244" s="159">
        <v>30.920105</v>
      </c>
      <c r="M244" s="187" t="s">
        <v>408</v>
      </c>
      <c r="N244" s="187">
        <v>1009.889055</v>
      </c>
      <c r="O244" s="186">
        <f t="shared" si="11"/>
        <v>31225.875618950773</v>
      </c>
      <c r="P244" s="186">
        <f t="shared" si="12"/>
        <v>9684.5742249892137</v>
      </c>
      <c r="Q244" s="215">
        <f>IF(P244="-",0,P244/(1+'General inputs'!$H$30)^'MP Calculations'!$C$40)</f>
        <v>21512.238249596649</v>
      </c>
    </row>
    <row r="245" spans="3:17" x14ac:dyDescent="0.25">
      <c r="C245" s="159"/>
      <c r="D245" s="165" t="s">
        <v>294</v>
      </c>
      <c r="E245" s="162">
        <v>29587</v>
      </c>
      <c r="F245" s="166" t="str">
        <f t="shared" si="10"/>
        <v>Date check - OK</v>
      </c>
      <c r="G245" s="68"/>
      <c r="H245" s="162" t="s">
        <v>279</v>
      </c>
      <c r="I245" s="173">
        <v>89592.114709699614</v>
      </c>
      <c r="J245" s="168">
        <f>IFERROR(MIN('MP Calculations'!$E$30/I245,1),"-")</f>
        <v>0.31014580161562261</v>
      </c>
      <c r="K245" s="12"/>
      <c r="L245" s="159">
        <v>135.042439</v>
      </c>
      <c r="M245" s="187" t="s">
        <v>408</v>
      </c>
      <c r="N245" s="187">
        <v>1186.218891</v>
      </c>
      <c r="O245" s="186">
        <f t="shared" si="11"/>
        <v>160189.89222851515</v>
      </c>
      <c r="P245" s="186">
        <f t="shared" si="12"/>
        <v>49682.222535933026</v>
      </c>
      <c r="Q245" s="215">
        <f>IF(P245="-",0,P245/(1+'General inputs'!$H$30)^'MP Calculations'!$C$40)</f>
        <v>110358.57469135785</v>
      </c>
    </row>
    <row r="246" spans="3:17" x14ac:dyDescent="0.25">
      <c r="C246" s="159"/>
      <c r="D246" s="165" t="s">
        <v>293</v>
      </c>
      <c r="E246" s="162">
        <v>29587</v>
      </c>
      <c r="F246" s="166" t="str">
        <f t="shared" si="10"/>
        <v>Date check - OK</v>
      </c>
      <c r="G246" s="68"/>
      <c r="H246" s="162" t="s">
        <v>279</v>
      </c>
      <c r="I246" s="173">
        <v>89592.114709699614</v>
      </c>
      <c r="J246" s="168">
        <f>IFERROR(MIN('MP Calculations'!$E$30/I246,1),"-")</f>
        <v>0.31014580161562261</v>
      </c>
      <c r="K246" s="12"/>
      <c r="L246" s="159">
        <v>2.7513930000000002</v>
      </c>
      <c r="M246" s="187" t="s">
        <v>408</v>
      </c>
      <c r="N246" s="187">
        <v>1009.889055</v>
      </c>
      <c r="O246" s="186">
        <f t="shared" si="11"/>
        <v>2778.6016767036153</v>
      </c>
      <c r="P246" s="186">
        <f t="shared" si="12"/>
        <v>861.77164439175579</v>
      </c>
      <c r="Q246" s="215">
        <f>IF(P246="-",0,P246/(1+'General inputs'!$H$30)^'MP Calculations'!$C$40)</f>
        <v>1914.2438789995208</v>
      </c>
    </row>
    <row r="247" spans="3:17" x14ac:dyDescent="0.25">
      <c r="C247" s="159"/>
      <c r="D247" s="165" t="s">
        <v>294</v>
      </c>
      <c r="E247" s="162">
        <v>29587</v>
      </c>
      <c r="F247" s="166" t="str">
        <f t="shared" si="10"/>
        <v>Date check - OK</v>
      </c>
      <c r="G247" s="68"/>
      <c r="H247" s="162" t="s">
        <v>279</v>
      </c>
      <c r="I247" s="173">
        <v>89592.114709699614</v>
      </c>
      <c r="J247" s="168">
        <f>IFERROR(MIN('MP Calculations'!$E$30/I247,1),"-")</f>
        <v>0.31014580161562261</v>
      </c>
      <c r="K247" s="12"/>
      <c r="L247" s="159">
        <v>22.373532999999998</v>
      </c>
      <c r="M247" s="187" t="s">
        <v>408</v>
      </c>
      <c r="N247" s="187">
        <v>1186.218891</v>
      </c>
      <c r="O247" s="186">
        <f t="shared" si="11"/>
        <v>26539.907503011902</v>
      </c>
      <c r="P247" s="186">
        <f t="shared" si="12"/>
        <v>8231.2408873261029</v>
      </c>
      <c r="Q247" s="215">
        <f>IF(P247="-",0,P247/(1+'General inputs'!$H$30)^'MP Calculations'!$C$40)</f>
        <v>18283.964885217003</v>
      </c>
    </row>
    <row r="248" spans="3:17" x14ac:dyDescent="0.25">
      <c r="C248" s="159"/>
      <c r="D248" s="165" t="s">
        <v>294</v>
      </c>
      <c r="E248" s="162">
        <v>29587</v>
      </c>
      <c r="F248" s="166" t="str">
        <f t="shared" si="10"/>
        <v>Date check - OK</v>
      </c>
      <c r="G248" s="68"/>
      <c r="H248" s="162" t="s">
        <v>279</v>
      </c>
      <c r="I248" s="173">
        <v>89592.114709699614</v>
      </c>
      <c r="J248" s="168">
        <f>IFERROR(MIN('MP Calculations'!$E$30/I248,1),"-")</f>
        <v>0.31014580161562261</v>
      </c>
      <c r="K248" s="12"/>
      <c r="L248" s="159">
        <v>61.224507000000003</v>
      </c>
      <c r="M248" s="187" t="s">
        <v>408</v>
      </c>
      <c r="N248" s="187">
        <v>1186.218891</v>
      </c>
      <c r="O248" s="186">
        <f t="shared" si="11"/>
        <v>72625.666795561745</v>
      </c>
      <c r="P248" s="186">
        <f t="shared" si="12"/>
        <v>22524.545646178602</v>
      </c>
      <c r="Q248" s="215">
        <f>IF(P248="-",0,P248/(1+'General inputs'!$H$30)^'MP Calculations'!$C$40)</f>
        <v>50033.525599319641</v>
      </c>
    </row>
    <row r="249" spans="3:17" x14ac:dyDescent="0.25">
      <c r="C249" s="159"/>
      <c r="D249" s="165" t="s">
        <v>294</v>
      </c>
      <c r="E249" s="162">
        <v>29587</v>
      </c>
      <c r="F249" s="166" t="str">
        <f t="shared" si="10"/>
        <v>Date check - OK</v>
      </c>
      <c r="G249" s="68"/>
      <c r="H249" s="162" t="s">
        <v>279</v>
      </c>
      <c r="I249" s="173">
        <v>89592.114709699614</v>
      </c>
      <c r="J249" s="168">
        <f>IFERROR(MIN('MP Calculations'!$E$30/I249,1),"-")</f>
        <v>0.31014580161562261</v>
      </c>
      <c r="K249" s="12"/>
      <c r="L249" s="159">
        <v>123.84361699999999</v>
      </c>
      <c r="M249" s="187" t="s">
        <v>408</v>
      </c>
      <c r="N249" s="187">
        <v>1186.218891</v>
      </c>
      <c r="O249" s="186">
        <f t="shared" si="11"/>
        <v>146905.63801516875</v>
      </c>
      <c r="P249" s="186">
        <f t="shared" si="12"/>
        <v>45562.166864068997</v>
      </c>
      <c r="Q249" s="215">
        <f>IF(P249="-",0,P249/(1+'General inputs'!$H$30)^'MP Calculations'!$C$40)</f>
        <v>101206.74032510932</v>
      </c>
    </row>
    <row r="250" spans="3:17" x14ac:dyDescent="0.25">
      <c r="C250" s="159"/>
      <c r="D250" s="165" t="s">
        <v>294</v>
      </c>
      <c r="E250" s="162">
        <v>29587</v>
      </c>
      <c r="F250" s="166" t="str">
        <f t="shared" si="10"/>
        <v>Date check - OK</v>
      </c>
      <c r="G250" s="68"/>
      <c r="H250" s="162" t="s">
        <v>279</v>
      </c>
      <c r="I250" s="173">
        <v>89592.114709699614</v>
      </c>
      <c r="J250" s="168">
        <f>IFERROR(MIN('MP Calculations'!$E$30/I250,1),"-")</f>
        <v>0.31014580161562261</v>
      </c>
      <c r="K250" s="12"/>
      <c r="L250" s="159">
        <v>10.498721</v>
      </c>
      <c r="M250" s="187" t="s">
        <v>408</v>
      </c>
      <c r="N250" s="187">
        <v>1186.218891</v>
      </c>
      <c r="O250" s="186">
        <f t="shared" si="11"/>
        <v>12453.78118153841</v>
      </c>
      <c r="P250" s="186">
        <f t="shared" si="12"/>
        <v>3862.4879476937858</v>
      </c>
      <c r="Q250" s="215">
        <f>IF(P250="-",0,P250/(1+'General inputs'!$H$30)^'MP Calculations'!$C$40)</f>
        <v>8579.7020123594411</v>
      </c>
    </row>
    <row r="251" spans="3:17" x14ac:dyDescent="0.25">
      <c r="C251" s="159"/>
      <c r="D251" s="165" t="s">
        <v>294</v>
      </c>
      <c r="E251" s="162">
        <v>29587</v>
      </c>
      <c r="F251" s="166" t="str">
        <f t="shared" si="10"/>
        <v>Date check - OK</v>
      </c>
      <c r="G251" s="68"/>
      <c r="H251" s="162" t="s">
        <v>279</v>
      </c>
      <c r="I251" s="173">
        <v>89592.114709699614</v>
      </c>
      <c r="J251" s="168">
        <f>IFERROR(MIN('MP Calculations'!$E$30/I251,1),"-")</f>
        <v>0.31014580161562261</v>
      </c>
      <c r="K251" s="12"/>
      <c r="L251" s="159">
        <v>83.664807999999994</v>
      </c>
      <c r="M251" s="187" t="s">
        <v>408</v>
      </c>
      <c r="N251" s="187">
        <v>1186.218891</v>
      </c>
      <c r="O251" s="186">
        <f t="shared" si="11"/>
        <v>99244.775761487923</v>
      </c>
      <c r="P251" s="186">
        <f t="shared" si="12"/>
        <v>30780.350534709385</v>
      </c>
      <c r="Q251" s="215">
        <f>IF(P251="-",0,P251/(1+'General inputs'!$H$30)^'MP Calculations'!$C$40)</f>
        <v>68372.054230345413</v>
      </c>
    </row>
    <row r="252" spans="3:17" x14ac:dyDescent="0.25">
      <c r="C252" s="159"/>
      <c r="D252" s="165" t="s">
        <v>294</v>
      </c>
      <c r="E252" s="162">
        <v>29587</v>
      </c>
      <c r="F252" s="166" t="str">
        <f t="shared" si="10"/>
        <v>Date check - OK</v>
      </c>
      <c r="G252" s="68"/>
      <c r="H252" s="162" t="s">
        <v>279</v>
      </c>
      <c r="I252" s="173">
        <v>89592.114709699614</v>
      </c>
      <c r="J252" s="168">
        <f>IFERROR(MIN('MP Calculations'!$E$30/I252,1),"-")</f>
        <v>0.31014580161562261</v>
      </c>
      <c r="K252" s="12"/>
      <c r="L252" s="159">
        <v>21.995723000000002</v>
      </c>
      <c r="M252" s="187" t="s">
        <v>408</v>
      </c>
      <c r="N252" s="187">
        <v>1186.218891</v>
      </c>
      <c r="O252" s="186">
        <f t="shared" si="11"/>
        <v>26091.742143803196</v>
      </c>
      <c r="P252" s="186">
        <f t="shared" si="12"/>
        <v>8092.2442827379655</v>
      </c>
      <c r="Q252" s="215">
        <f>IF(P252="-",0,P252/(1+'General inputs'!$H$30)^'MP Calculations'!$C$40)</f>
        <v>17975.213255633793</v>
      </c>
    </row>
    <row r="253" spans="3:17" x14ac:dyDescent="0.25">
      <c r="C253" s="159"/>
      <c r="D253" s="165" t="s">
        <v>294</v>
      </c>
      <c r="E253" s="162">
        <v>29587</v>
      </c>
      <c r="F253" s="166" t="str">
        <f t="shared" si="10"/>
        <v>Date check - OK</v>
      </c>
      <c r="G253" s="68"/>
      <c r="H253" s="162" t="s">
        <v>279</v>
      </c>
      <c r="I253" s="173">
        <v>89592.114709699614</v>
      </c>
      <c r="J253" s="168">
        <f>IFERROR(MIN('MP Calculations'!$E$30/I253,1),"-")</f>
        <v>0.31014580161562261</v>
      </c>
      <c r="K253" s="12"/>
      <c r="L253" s="159">
        <v>36.301099999999998</v>
      </c>
      <c r="M253" s="187" t="s">
        <v>408</v>
      </c>
      <c r="N253" s="187">
        <v>1186.218891</v>
      </c>
      <c r="O253" s="186">
        <f t="shared" si="11"/>
        <v>43061.050584080098</v>
      </c>
      <c r="P253" s="186">
        <f t="shared" si="12"/>
        <v>13355.204051810397</v>
      </c>
      <c r="Q253" s="215">
        <f>IF(P253="-",0,P253/(1+'General inputs'!$H$30)^'MP Calculations'!$C$40)</f>
        <v>29665.767927432429</v>
      </c>
    </row>
    <row r="254" spans="3:17" x14ac:dyDescent="0.25">
      <c r="C254" s="159"/>
      <c r="D254" s="165" t="s">
        <v>294</v>
      </c>
      <c r="E254" s="162">
        <v>29587</v>
      </c>
      <c r="F254" s="166" t="str">
        <f t="shared" si="10"/>
        <v>Date check - OK</v>
      </c>
      <c r="G254" s="68"/>
      <c r="H254" s="162" t="s">
        <v>279</v>
      </c>
      <c r="I254" s="173">
        <v>89592.114709699614</v>
      </c>
      <c r="J254" s="168">
        <f>IFERROR(MIN('MP Calculations'!$E$30/I254,1),"-")</f>
        <v>0.31014580161562261</v>
      </c>
      <c r="K254" s="12"/>
      <c r="L254" s="159">
        <v>41.991022000000001</v>
      </c>
      <c r="M254" s="187" t="s">
        <v>408</v>
      </c>
      <c r="N254" s="187">
        <v>1186.218891</v>
      </c>
      <c r="O254" s="186">
        <f t="shared" si="11"/>
        <v>49810.543548796602</v>
      </c>
      <c r="P254" s="186">
        <f t="shared" si="12"/>
        <v>15448.530957851401</v>
      </c>
      <c r="Q254" s="215">
        <f>IF(P254="-",0,P254/(1+'General inputs'!$H$30)^'MP Calculations'!$C$40)</f>
        <v>34315.651968885497</v>
      </c>
    </row>
    <row r="255" spans="3:17" x14ac:dyDescent="0.25">
      <c r="C255" s="159"/>
      <c r="D255" s="165" t="s">
        <v>294</v>
      </c>
      <c r="E255" s="162">
        <v>29587</v>
      </c>
      <c r="F255" s="166" t="str">
        <f t="shared" si="10"/>
        <v>Date check - OK</v>
      </c>
      <c r="G255" s="68"/>
      <c r="H255" s="162" t="s">
        <v>279</v>
      </c>
      <c r="I255" s="173">
        <v>89592.114709699614</v>
      </c>
      <c r="J255" s="168">
        <f>IFERROR(MIN('MP Calculations'!$E$30/I255,1),"-")</f>
        <v>0.31014580161562261</v>
      </c>
      <c r="K255" s="12"/>
      <c r="L255" s="159">
        <v>33.621338999999999</v>
      </c>
      <c r="M255" s="187" t="s">
        <v>408</v>
      </c>
      <c r="N255" s="187">
        <v>1186.218891</v>
      </c>
      <c r="O255" s="186">
        <f t="shared" si="11"/>
        <v>39882.267462515047</v>
      </c>
      <c r="P255" s="186">
        <f t="shared" si="12"/>
        <v>12369.317812410392</v>
      </c>
      <c r="Q255" s="215">
        <f>IF(P255="-",0,P255/(1+'General inputs'!$H$30)^'MP Calculations'!$C$40)</f>
        <v>27475.829663110293</v>
      </c>
    </row>
    <row r="256" spans="3:17" x14ac:dyDescent="0.25">
      <c r="C256" s="159"/>
      <c r="D256" s="165" t="s">
        <v>294</v>
      </c>
      <c r="E256" s="162">
        <v>29587</v>
      </c>
      <c r="F256" s="166" t="str">
        <f t="shared" si="10"/>
        <v>Date check - OK</v>
      </c>
      <c r="G256" s="68"/>
      <c r="H256" s="162" t="s">
        <v>279</v>
      </c>
      <c r="I256" s="173">
        <v>89592.114709699614</v>
      </c>
      <c r="J256" s="168">
        <f>IFERROR(MIN('MP Calculations'!$E$30/I256,1),"-")</f>
        <v>0.31014580161562261</v>
      </c>
      <c r="K256" s="12"/>
      <c r="L256" s="159">
        <v>11.998775999999999</v>
      </c>
      <c r="M256" s="187" t="s">
        <v>408</v>
      </c>
      <c r="N256" s="187">
        <v>1186.218891</v>
      </c>
      <c r="O256" s="186">
        <f t="shared" si="11"/>
        <v>14233.174760077416</v>
      </c>
      <c r="P256" s="186">
        <f t="shared" si="12"/>
        <v>4414.3593954994576</v>
      </c>
      <c r="Q256" s="215">
        <f>IF(P256="-",0,P256/(1+'General inputs'!$H$30)^'MP Calculations'!$C$40)</f>
        <v>9805.5679918582628</v>
      </c>
    </row>
    <row r="257" spans="3:17" x14ac:dyDescent="0.25">
      <c r="C257" s="159"/>
      <c r="D257" s="165" t="s">
        <v>294</v>
      </c>
      <c r="E257" s="162">
        <v>29587</v>
      </c>
      <c r="F257" s="166" t="str">
        <f t="shared" si="10"/>
        <v>Date check - OK</v>
      </c>
      <c r="G257" s="68"/>
      <c r="H257" s="162" t="s">
        <v>279</v>
      </c>
      <c r="I257" s="173">
        <v>89592.114709699614</v>
      </c>
      <c r="J257" s="168">
        <f>IFERROR(MIN('MP Calculations'!$E$30/I257,1),"-")</f>
        <v>0.31014580161562261</v>
      </c>
      <c r="K257" s="12"/>
      <c r="L257" s="159">
        <v>21.880025</v>
      </c>
      <c r="M257" s="187" t="s">
        <v>408</v>
      </c>
      <c r="N257" s="187">
        <v>1186.218891</v>
      </c>
      <c r="O257" s="186">
        <f t="shared" si="11"/>
        <v>25954.498990552274</v>
      </c>
      <c r="P257" s="186">
        <f t="shared" si="12"/>
        <v>8049.6788949567026</v>
      </c>
      <c r="Q257" s="215">
        <f>IF(P257="-",0,P257/(1+'General inputs'!$H$30)^'MP Calculations'!$C$40)</f>
        <v>17880.663227737441</v>
      </c>
    </row>
    <row r="258" spans="3:17" x14ac:dyDescent="0.25">
      <c r="C258" s="159"/>
      <c r="D258" s="165" t="s">
        <v>294</v>
      </c>
      <c r="E258" s="162">
        <v>29587</v>
      </c>
      <c r="F258" s="166" t="str">
        <f t="shared" si="10"/>
        <v>Date check - OK</v>
      </c>
      <c r="G258" s="68"/>
      <c r="H258" s="162" t="s">
        <v>279</v>
      </c>
      <c r="I258" s="173">
        <v>89592.114709699614</v>
      </c>
      <c r="J258" s="168">
        <f>IFERROR(MIN('MP Calculations'!$E$30/I258,1),"-")</f>
        <v>0.31014580161562261</v>
      </c>
      <c r="K258" s="12"/>
      <c r="L258" s="159">
        <v>49.083342999999999</v>
      </c>
      <c r="M258" s="187" t="s">
        <v>408</v>
      </c>
      <c r="N258" s="187">
        <v>1186.218891</v>
      </c>
      <c r="O258" s="186">
        <f t="shared" si="11"/>
        <v>58223.588700032611</v>
      </c>
      <c r="P258" s="186">
        <f t="shared" si="12"/>
        <v>18057.801590309922</v>
      </c>
      <c r="Q258" s="215">
        <f>IF(P258="-",0,P258/(1+'General inputs'!$H$30)^'MP Calculations'!$C$40)</f>
        <v>40111.596137322704</v>
      </c>
    </row>
    <row r="259" spans="3:17" x14ac:dyDescent="0.25">
      <c r="C259" s="159"/>
      <c r="D259" s="165" t="s">
        <v>306</v>
      </c>
      <c r="E259" s="162">
        <v>29587</v>
      </c>
      <c r="F259" s="166" t="str">
        <f t="shared" si="10"/>
        <v>Date check - OK</v>
      </c>
      <c r="G259" s="68"/>
      <c r="H259" s="162" t="s">
        <v>279</v>
      </c>
      <c r="I259" s="173">
        <v>89592.114709699614</v>
      </c>
      <c r="J259" s="168">
        <f>IFERROR(MIN('MP Calculations'!$E$30/I259,1),"-")</f>
        <v>0.31014580161562261</v>
      </c>
      <c r="K259" s="12"/>
      <c r="L259" s="159">
        <v>147.19672299999999</v>
      </c>
      <c r="M259" s="187" t="s">
        <v>408</v>
      </c>
      <c r="N259" s="187">
        <v>1362.548726</v>
      </c>
      <c r="O259" s="186">
        <f t="shared" si="11"/>
        <v>200562.70739502489</v>
      </c>
      <c r="P259" s="186">
        <f t="shared" si="12"/>
        <v>62203.681659229551</v>
      </c>
      <c r="Q259" s="215">
        <f>IF(P259="-",0,P259/(1+'General inputs'!$H$30)^'MP Calculations'!$C$40)</f>
        <v>138172.35417563253</v>
      </c>
    </row>
    <row r="260" spans="3:17" x14ac:dyDescent="0.25">
      <c r="C260" s="159"/>
      <c r="D260" s="165" t="s">
        <v>306</v>
      </c>
      <c r="E260" s="162">
        <v>29587</v>
      </c>
      <c r="F260" s="166" t="str">
        <f t="shared" si="10"/>
        <v>Date check - OK</v>
      </c>
      <c r="G260" s="68"/>
      <c r="H260" s="162" t="s">
        <v>279</v>
      </c>
      <c r="I260" s="173">
        <v>89592.114709699614</v>
      </c>
      <c r="J260" s="168">
        <f>IFERROR(MIN('MP Calculations'!$E$30/I260,1),"-")</f>
        <v>0.31014580161562261</v>
      </c>
      <c r="K260" s="12"/>
      <c r="L260" s="159">
        <v>92.215266</v>
      </c>
      <c r="M260" s="187" t="s">
        <v>408</v>
      </c>
      <c r="N260" s="187">
        <v>1362.548726</v>
      </c>
      <c r="O260" s="186">
        <f t="shared" si="11"/>
        <v>125647.79320605111</v>
      </c>
      <c r="P260" s="186">
        <f t="shared" si="12"/>
        <v>38969.1355451247</v>
      </c>
      <c r="Q260" s="215">
        <f>IF(P260="-",0,P260/(1+'General inputs'!$H$30)^'MP Calculations'!$C$40)</f>
        <v>86561.71234295865</v>
      </c>
    </row>
    <row r="261" spans="3:17" x14ac:dyDescent="0.25">
      <c r="C261" s="159"/>
      <c r="D261" s="165" t="s">
        <v>306</v>
      </c>
      <c r="E261" s="162">
        <v>29587</v>
      </c>
      <c r="F261" s="166" t="str">
        <f t="shared" si="10"/>
        <v>Date check - OK</v>
      </c>
      <c r="G261" s="68"/>
      <c r="H261" s="162" t="s">
        <v>279</v>
      </c>
      <c r="I261" s="173">
        <v>89592.114709699614</v>
      </c>
      <c r="J261" s="168">
        <f>IFERROR(MIN('MP Calculations'!$E$30/I261,1),"-")</f>
        <v>0.31014580161562261</v>
      </c>
      <c r="K261" s="12"/>
      <c r="L261" s="159">
        <v>137.38177200000001</v>
      </c>
      <c r="M261" s="187" t="s">
        <v>408</v>
      </c>
      <c r="N261" s="187">
        <v>1362.548726</v>
      </c>
      <c r="O261" s="186">
        <f t="shared" si="11"/>
        <v>187189.35841422249</v>
      </c>
      <c r="P261" s="186">
        <f t="shared" si="12"/>
        <v>58055.993619293127</v>
      </c>
      <c r="Q261" s="215">
        <f>IF(P261="-",0,P261/(1+'General inputs'!$H$30)^'MP Calculations'!$C$40)</f>
        <v>128959.14033398693</v>
      </c>
    </row>
    <row r="262" spans="3:17" x14ac:dyDescent="0.25">
      <c r="C262" s="159"/>
      <c r="D262" s="165" t="s">
        <v>306</v>
      </c>
      <c r="E262" s="162">
        <v>29587</v>
      </c>
      <c r="F262" s="166" t="str">
        <f t="shared" si="10"/>
        <v>Date check - OK</v>
      </c>
      <c r="G262" s="68"/>
      <c r="H262" s="162" t="s">
        <v>279</v>
      </c>
      <c r="I262" s="173">
        <v>89592.114709699614</v>
      </c>
      <c r="J262" s="168">
        <f>IFERROR(MIN('MP Calculations'!$E$30/I262,1),"-")</f>
        <v>0.31014580161562261</v>
      </c>
      <c r="K262" s="12"/>
      <c r="L262" s="159">
        <v>8.6814660000000003</v>
      </c>
      <c r="M262" s="187" t="s">
        <v>408</v>
      </c>
      <c r="N262" s="187">
        <v>1362.548726</v>
      </c>
      <c r="O262" s="186">
        <f t="shared" si="11"/>
        <v>11828.920438112316</v>
      </c>
      <c r="P262" s="186">
        <f t="shared" si="12"/>
        <v>3668.6900115257663</v>
      </c>
      <c r="Q262" s="215">
        <f>IF(P262="-",0,P262/(1+'General inputs'!$H$30)^'MP Calculations'!$C$40)</f>
        <v>8149.2207874472315</v>
      </c>
    </row>
    <row r="263" spans="3:17" x14ac:dyDescent="0.25">
      <c r="C263" s="159"/>
      <c r="D263" s="165" t="s">
        <v>306</v>
      </c>
      <c r="E263" s="162">
        <v>29587</v>
      </c>
      <c r="F263" s="166" t="str">
        <f t="shared" si="10"/>
        <v>Date check - OK</v>
      </c>
      <c r="G263" s="68"/>
      <c r="H263" s="162" t="s">
        <v>279</v>
      </c>
      <c r="I263" s="173">
        <v>89592.114709699614</v>
      </c>
      <c r="J263" s="168">
        <f>IFERROR(MIN('MP Calculations'!$E$30/I263,1),"-")</f>
        <v>0.31014580161562261</v>
      </c>
      <c r="K263" s="12"/>
      <c r="L263" s="159">
        <v>140.499506</v>
      </c>
      <c r="M263" s="187" t="s">
        <v>408</v>
      </c>
      <c r="N263" s="187">
        <v>1362.548726</v>
      </c>
      <c r="O263" s="186">
        <f t="shared" si="11"/>
        <v>191437.42290392934</v>
      </c>
      <c r="P263" s="186">
        <f t="shared" si="12"/>
        <v>59373.512985768117</v>
      </c>
      <c r="Q263" s="215">
        <f>IF(P263="-",0,P263/(1+'General inputs'!$H$30)^'MP Calculations'!$C$40)</f>
        <v>131885.73161736358</v>
      </c>
    </row>
    <row r="264" spans="3:17" x14ac:dyDescent="0.25">
      <c r="C264" s="159"/>
      <c r="D264" s="165" t="s">
        <v>306</v>
      </c>
      <c r="E264" s="162">
        <v>29587</v>
      </c>
      <c r="F264" s="166" t="str">
        <f t="shared" si="10"/>
        <v>Date check - OK</v>
      </c>
      <c r="G264" s="68"/>
      <c r="H264" s="162" t="s">
        <v>279</v>
      </c>
      <c r="I264" s="173">
        <v>89592.114709699614</v>
      </c>
      <c r="J264" s="168">
        <f>IFERROR(MIN('MP Calculations'!$E$30/I264,1),"-")</f>
        <v>0.31014580161562261</v>
      </c>
      <c r="K264" s="12"/>
      <c r="L264" s="159">
        <v>137.758824</v>
      </c>
      <c r="M264" s="187" t="s">
        <v>408</v>
      </c>
      <c r="N264" s="187">
        <v>1362.548726</v>
      </c>
      <c r="O264" s="186">
        <f t="shared" si="11"/>
        <v>187703.11013645821</v>
      </c>
      <c r="P264" s="186">
        <f t="shared" si="12"/>
        <v>58215.33155901733</v>
      </c>
      <c r="Q264" s="215">
        <f>IF(P264="-",0,P264/(1+'General inputs'!$H$30)^'MP Calculations'!$C$40)</f>
        <v>129313.0759476665</v>
      </c>
    </row>
    <row r="265" spans="3:17" x14ac:dyDescent="0.25">
      <c r="C265" s="159"/>
      <c r="D265" s="165" t="s">
        <v>306</v>
      </c>
      <c r="E265" s="162">
        <v>29587</v>
      </c>
      <c r="F265" s="166" t="str">
        <f t="shared" si="10"/>
        <v>Date check - OK</v>
      </c>
      <c r="G265" s="68"/>
      <c r="H265" s="162" t="s">
        <v>279</v>
      </c>
      <c r="I265" s="173">
        <v>89592.114709699614</v>
      </c>
      <c r="J265" s="168">
        <f>IFERROR(MIN('MP Calculations'!$E$30/I265,1),"-")</f>
        <v>0.31014580161562261</v>
      </c>
      <c r="K265" s="12"/>
      <c r="L265" s="159">
        <v>140.80060399999999</v>
      </c>
      <c r="M265" s="187" t="s">
        <v>408</v>
      </c>
      <c r="N265" s="187">
        <v>1362.548726</v>
      </c>
      <c r="O265" s="186">
        <f t="shared" si="11"/>
        <v>191847.68360023049</v>
      </c>
      <c r="P265" s="186">
        <f t="shared" si="12"/>
        <v>59500.75361829382</v>
      </c>
      <c r="Q265" s="215">
        <f>IF(P265="-",0,P265/(1+'General inputs'!$H$30)^'MP Calculations'!$C$40)</f>
        <v>132168.36983545471</v>
      </c>
    </row>
    <row r="266" spans="3:17" x14ac:dyDescent="0.25">
      <c r="C266" s="159"/>
      <c r="D266" s="165" t="s">
        <v>306</v>
      </c>
      <c r="E266" s="162">
        <v>29587</v>
      </c>
      <c r="F266" s="166" t="str">
        <f t="shared" si="10"/>
        <v>Date check - OK</v>
      </c>
      <c r="G266" s="68"/>
      <c r="H266" s="162" t="s">
        <v>279</v>
      </c>
      <c r="I266" s="173">
        <v>89592.114709699614</v>
      </c>
      <c r="J266" s="168">
        <f>IFERROR(MIN('MP Calculations'!$E$30/I266,1),"-")</f>
        <v>0.31014580161562261</v>
      </c>
      <c r="K266" s="12"/>
      <c r="L266" s="159">
        <v>61.776403999999999</v>
      </c>
      <c r="M266" s="187" t="s">
        <v>408</v>
      </c>
      <c r="N266" s="187">
        <v>1362.548726</v>
      </c>
      <c r="O266" s="186">
        <f t="shared" si="11"/>
        <v>84173.360567061303</v>
      </c>
      <c r="P266" s="186">
        <f t="shared" si="12"/>
        <v>26106.014387752064</v>
      </c>
      <c r="Q266" s="215">
        <f>IF(P266="-",0,P266/(1+'General inputs'!$H$30)^'MP Calculations'!$C$40)</f>
        <v>57989.002738769952</v>
      </c>
    </row>
    <row r="267" spans="3:17" x14ac:dyDescent="0.25">
      <c r="C267" s="159"/>
      <c r="D267" s="165" t="s">
        <v>306</v>
      </c>
      <c r="E267" s="162">
        <v>29587</v>
      </c>
      <c r="F267" s="166" t="str">
        <f t="shared" si="10"/>
        <v>Date check - OK</v>
      </c>
      <c r="G267" s="68"/>
      <c r="H267" s="162" t="s">
        <v>279</v>
      </c>
      <c r="I267" s="173">
        <v>89592.114709699614</v>
      </c>
      <c r="J267" s="168">
        <f>IFERROR(MIN('MP Calculations'!$E$30/I267,1),"-")</f>
        <v>0.31014580161562261</v>
      </c>
      <c r="K267" s="12"/>
      <c r="L267" s="159">
        <v>2.774899</v>
      </c>
      <c r="M267" s="187" t="s">
        <v>408</v>
      </c>
      <c r="N267" s="187">
        <v>1362.548726</v>
      </c>
      <c r="O267" s="186">
        <f t="shared" si="11"/>
        <v>3780.9350972286738</v>
      </c>
      <c r="P267" s="186">
        <f t="shared" si="12"/>
        <v>1172.641146586629</v>
      </c>
      <c r="Q267" s="215">
        <f>IF(P267="-",0,P267/(1+'General inputs'!$H$30)^'MP Calculations'!$C$40)</f>
        <v>2604.7748863920601</v>
      </c>
    </row>
    <row r="268" spans="3:17" x14ac:dyDescent="0.25">
      <c r="C268" s="159"/>
      <c r="D268" s="165" t="s">
        <v>306</v>
      </c>
      <c r="E268" s="162">
        <v>29587</v>
      </c>
      <c r="F268" s="166" t="str">
        <f t="shared" si="10"/>
        <v>Date check - OK</v>
      </c>
      <c r="G268" s="68"/>
      <c r="H268" s="162" t="s">
        <v>279</v>
      </c>
      <c r="I268" s="173">
        <v>89592.114709699614</v>
      </c>
      <c r="J268" s="168">
        <f>IFERROR(MIN('MP Calculations'!$E$30/I268,1),"-")</f>
        <v>0.31014580161562261</v>
      </c>
      <c r="K268" s="12"/>
      <c r="L268" s="159">
        <v>124.55156599999999</v>
      </c>
      <c r="M268" s="187" t="s">
        <v>408</v>
      </c>
      <c r="N268" s="187">
        <v>1362.548726</v>
      </c>
      <c r="O268" s="186">
        <f t="shared" si="11"/>
        <v>169707.57757460492</v>
      </c>
      <c r="P268" s="186">
        <f t="shared" si="12"/>
        <v>52634.092687121301</v>
      </c>
      <c r="Q268" s="215">
        <f>IF(P268="-",0,P268/(1+'General inputs'!$H$30)^'MP Calculations'!$C$40)</f>
        <v>116915.53140406308</v>
      </c>
    </row>
    <row r="269" spans="3:17" x14ac:dyDescent="0.25">
      <c r="C269" s="159"/>
      <c r="D269" s="165" t="s">
        <v>306</v>
      </c>
      <c r="E269" s="162">
        <v>29587</v>
      </c>
      <c r="F269" s="166" t="str">
        <f t="shared" si="10"/>
        <v>Date check - OK</v>
      </c>
      <c r="G269" s="68"/>
      <c r="H269" s="162" t="s">
        <v>279</v>
      </c>
      <c r="I269" s="173">
        <v>89592.114709699614</v>
      </c>
      <c r="J269" s="168">
        <f>IFERROR(MIN('MP Calculations'!$E$30/I269,1),"-")</f>
        <v>0.31014580161562261</v>
      </c>
      <c r="K269" s="12"/>
      <c r="L269" s="159">
        <v>37.31467</v>
      </c>
      <c r="M269" s="187" t="s">
        <v>408</v>
      </c>
      <c r="N269" s="187">
        <v>1362.548726</v>
      </c>
      <c r="O269" s="186">
        <f t="shared" si="11"/>
        <v>50843.056069610422</v>
      </c>
      <c r="P269" s="186">
        <f t="shared" si="12"/>
        <v>15768.76038129737</v>
      </c>
      <c r="Q269" s="215">
        <f>IF(P269="-",0,P269/(1+'General inputs'!$H$30)^'MP Calculations'!$C$40)</f>
        <v>35026.974066446099</v>
      </c>
    </row>
    <row r="270" spans="3:17" x14ac:dyDescent="0.25">
      <c r="C270" s="159"/>
      <c r="D270" s="165" t="s">
        <v>306</v>
      </c>
      <c r="E270" s="162">
        <v>29587</v>
      </c>
      <c r="F270" s="166" t="str">
        <f t="shared" si="10"/>
        <v>Date check - OK</v>
      </c>
      <c r="G270" s="68"/>
      <c r="H270" s="162" t="s">
        <v>279</v>
      </c>
      <c r="I270" s="173">
        <v>89592.114709699614</v>
      </c>
      <c r="J270" s="168">
        <f>IFERROR(MIN('MP Calculations'!$E$30/I270,1),"-")</f>
        <v>0.31014580161562261</v>
      </c>
      <c r="K270" s="12"/>
      <c r="L270" s="159">
        <v>141.53689800000001</v>
      </c>
      <c r="M270" s="187" t="s">
        <v>408</v>
      </c>
      <c r="N270" s="187">
        <v>1362.548726</v>
      </c>
      <c r="O270" s="186">
        <f t="shared" si="11"/>
        <v>192850.92005189197</v>
      </c>
      <c r="P270" s="186">
        <f t="shared" si="12"/>
        <v>59811.903191804384</v>
      </c>
      <c r="Q270" s="215">
        <f>IF(P270="-",0,P270/(1+'General inputs'!$H$30)^'MP Calculations'!$C$40)</f>
        <v>132859.52296218157</v>
      </c>
    </row>
    <row r="271" spans="3:17" x14ac:dyDescent="0.25">
      <c r="C271" s="159"/>
      <c r="D271" s="165" t="s">
        <v>306</v>
      </c>
      <c r="E271" s="162">
        <v>29587</v>
      </c>
      <c r="F271" s="166" t="str">
        <f t="shared" si="10"/>
        <v>Date check - OK</v>
      </c>
      <c r="G271" s="68"/>
      <c r="H271" s="162" t="s">
        <v>279</v>
      </c>
      <c r="I271" s="173">
        <v>89592.114709699614</v>
      </c>
      <c r="J271" s="168">
        <f>IFERROR(MIN('MP Calculations'!$E$30/I271,1),"-")</f>
        <v>0.31014580161562261</v>
      </c>
      <c r="K271" s="12"/>
      <c r="L271" s="159">
        <v>121.82515100000001</v>
      </c>
      <c r="M271" s="187" t="s">
        <v>408</v>
      </c>
      <c r="N271" s="187">
        <v>1362.548726</v>
      </c>
      <c r="O271" s="186">
        <f t="shared" si="11"/>
        <v>165992.70428980762</v>
      </c>
      <c r="P271" s="186">
        <f t="shared" si="12"/>
        <v>51481.940334307379</v>
      </c>
      <c r="Q271" s="215">
        <f>IF(P271="-",0,P271/(1+'General inputs'!$H$30)^'MP Calculations'!$C$40)</f>
        <v>114356.26805001571</v>
      </c>
    </row>
    <row r="272" spans="3:17" x14ac:dyDescent="0.25">
      <c r="C272" s="159"/>
      <c r="D272" s="165" t="s">
        <v>306</v>
      </c>
      <c r="E272" s="162">
        <v>29587</v>
      </c>
      <c r="F272" s="166" t="str">
        <f t="shared" si="10"/>
        <v>Date check - OK</v>
      </c>
      <c r="G272" s="68"/>
      <c r="H272" s="162" t="s">
        <v>279</v>
      </c>
      <c r="I272" s="173">
        <v>89592.114709699614</v>
      </c>
      <c r="J272" s="168">
        <f>IFERROR(MIN('MP Calculations'!$E$30/I272,1),"-")</f>
        <v>0.31014580161562261</v>
      </c>
      <c r="K272" s="12"/>
      <c r="L272" s="159">
        <v>85.375581999999994</v>
      </c>
      <c r="M272" s="187" t="s">
        <v>408</v>
      </c>
      <c r="N272" s="187">
        <v>1362.548726</v>
      </c>
      <c r="O272" s="186">
        <f t="shared" si="11"/>
        <v>116328.39048560853</v>
      </c>
      <c r="P272" s="186">
        <f t="shared" si="12"/>
        <v>36078.761917814219</v>
      </c>
      <c r="Q272" s="215">
        <f>IF(P272="-",0,P272/(1+'General inputs'!$H$30)^'MP Calculations'!$C$40)</f>
        <v>80141.357182623949</v>
      </c>
    </row>
    <row r="273" spans="3:17" x14ac:dyDescent="0.25">
      <c r="C273" s="159"/>
      <c r="D273" s="165" t="s">
        <v>306</v>
      </c>
      <c r="E273" s="162">
        <v>29587</v>
      </c>
      <c r="F273" s="166" t="str">
        <f t="shared" si="10"/>
        <v>Date check - OK</v>
      </c>
      <c r="G273" s="68"/>
      <c r="H273" s="162" t="s">
        <v>279</v>
      </c>
      <c r="I273" s="173">
        <v>89592.114709699614</v>
      </c>
      <c r="J273" s="168">
        <f>IFERROR(MIN('MP Calculations'!$E$30/I273,1),"-")</f>
        <v>0.31014580161562261</v>
      </c>
      <c r="K273" s="12"/>
      <c r="L273" s="159">
        <v>173.06625399999999</v>
      </c>
      <c r="M273" s="187" t="s">
        <v>408</v>
      </c>
      <c r="N273" s="187">
        <v>1362.548726</v>
      </c>
      <c r="O273" s="186">
        <f t="shared" si="11"/>
        <v>235811.20390129238</v>
      </c>
      <c r="P273" s="186">
        <f t="shared" si="12"/>
        <v>73135.854863911358</v>
      </c>
      <c r="Q273" s="215">
        <f>IF(P273="-",0,P273/(1+'General inputs'!$H$30)^'MP Calculations'!$C$40)</f>
        <v>162455.87032218088</v>
      </c>
    </row>
    <row r="274" spans="3:17" x14ac:dyDescent="0.25">
      <c r="C274" s="159"/>
      <c r="D274" s="165" t="s">
        <v>306</v>
      </c>
      <c r="E274" s="162">
        <v>29587</v>
      </c>
      <c r="F274" s="166" t="str">
        <f t="shared" si="10"/>
        <v>Date check - OK</v>
      </c>
      <c r="G274" s="68"/>
      <c r="H274" s="162" t="s">
        <v>279</v>
      </c>
      <c r="I274" s="173">
        <v>89592.114709699614</v>
      </c>
      <c r="J274" s="168">
        <f>IFERROR(MIN('MP Calculations'!$E$30/I274,1),"-")</f>
        <v>0.31014580161562261</v>
      </c>
      <c r="K274" s="12"/>
      <c r="L274" s="159">
        <v>105.11791599999999</v>
      </c>
      <c r="M274" s="187" t="s">
        <v>408</v>
      </c>
      <c r="N274" s="187">
        <v>1362.548726</v>
      </c>
      <c r="O274" s="186">
        <f t="shared" si="11"/>
        <v>143228.28252557499</v>
      </c>
      <c r="P274" s="186">
        <f t="shared" si="12"/>
        <v>44421.650497923329</v>
      </c>
      <c r="Q274" s="215">
        <f>IF(P274="-",0,P274/(1+'General inputs'!$H$30)^'MP Calculations'!$C$40)</f>
        <v>98673.323860317119</v>
      </c>
    </row>
    <row r="275" spans="3:17" x14ac:dyDescent="0.25">
      <c r="C275" s="159"/>
      <c r="D275" s="165" t="s">
        <v>283</v>
      </c>
      <c r="E275" s="162">
        <v>29587</v>
      </c>
      <c r="F275" s="166" t="str">
        <f t="shared" si="10"/>
        <v>Date check - OK</v>
      </c>
      <c r="G275" s="68"/>
      <c r="H275" s="162" t="s">
        <v>279</v>
      </c>
      <c r="I275" s="173">
        <v>89592.114709699614</v>
      </c>
      <c r="J275" s="168">
        <f>IFERROR(MIN('MP Calculations'!$E$30/I275,1),"-")</f>
        <v>0.31014580161562261</v>
      </c>
      <c r="K275" s="12"/>
      <c r="L275" s="159">
        <v>20.207917999999999</v>
      </c>
      <c r="M275" s="187" t="s">
        <v>408</v>
      </c>
      <c r="N275" s="187">
        <v>480.89954999999998</v>
      </c>
      <c r="O275" s="186">
        <f t="shared" si="11"/>
        <v>9717.9786726368984</v>
      </c>
      <c r="P275" s="186">
        <f t="shared" si="12"/>
        <v>3013.9902855084952</v>
      </c>
      <c r="Q275" s="215">
        <f>IF(P275="-",0,P275/(1+'General inputs'!$H$30)^'MP Calculations'!$C$40)</f>
        <v>6694.9434840952745</v>
      </c>
    </row>
    <row r="276" spans="3:17" x14ac:dyDescent="0.25">
      <c r="C276" s="159"/>
      <c r="D276" s="165" t="s">
        <v>283</v>
      </c>
      <c r="E276" s="162">
        <v>29587</v>
      </c>
      <c r="F276" s="166" t="str">
        <f t="shared" si="10"/>
        <v>Date check - OK</v>
      </c>
      <c r="G276" s="68"/>
      <c r="H276" s="162" t="s">
        <v>279</v>
      </c>
      <c r="I276" s="173">
        <v>89592.114709699614</v>
      </c>
      <c r="J276" s="168">
        <f>IFERROR(MIN('MP Calculations'!$E$30/I276,1),"-")</f>
        <v>0.31014580161562261</v>
      </c>
      <c r="K276" s="12"/>
      <c r="L276" s="159">
        <v>21.058302999999999</v>
      </c>
      <c r="M276" s="187" t="s">
        <v>408</v>
      </c>
      <c r="N276" s="187">
        <v>480.89954999999998</v>
      </c>
      <c r="O276" s="186">
        <f t="shared" si="11"/>
        <v>10126.92843646365</v>
      </c>
      <c r="P276" s="186">
        <f t="shared" si="12"/>
        <v>3140.8243378310622</v>
      </c>
      <c r="Q276" s="215">
        <f>IF(P276="-",0,P276/(1+'General inputs'!$H$30)^'MP Calculations'!$C$40)</f>
        <v>6976.6785700513019</v>
      </c>
    </row>
    <row r="277" spans="3:17" x14ac:dyDescent="0.25">
      <c r="C277" s="159"/>
      <c r="D277" s="165" t="s">
        <v>283</v>
      </c>
      <c r="E277" s="162">
        <v>29587</v>
      </c>
      <c r="F277" s="166" t="str">
        <f t="shared" si="10"/>
        <v>Date check - OK</v>
      </c>
      <c r="G277" s="68"/>
      <c r="H277" s="162" t="s">
        <v>279</v>
      </c>
      <c r="I277" s="173">
        <v>89592.114709699614</v>
      </c>
      <c r="J277" s="168">
        <f>IFERROR(MIN('MP Calculations'!$E$30/I277,1),"-")</f>
        <v>0.31014580161562261</v>
      </c>
      <c r="K277" s="12"/>
      <c r="L277" s="159">
        <v>42.109541999999998</v>
      </c>
      <c r="M277" s="187" t="s">
        <v>408</v>
      </c>
      <c r="N277" s="187">
        <v>480.89954999999998</v>
      </c>
      <c r="O277" s="186">
        <f t="shared" si="11"/>
        <v>20250.459798506097</v>
      </c>
      <c r="P277" s="186">
        <f t="shared" si="12"/>
        <v>6280.5950872926132</v>
      </c>
      <c r="Q277" s="215">
        <f>IF(P277="-",0,P277/(1+'General inputs'!$H$30)^'MP Calculations'!$C$40)</f>
        <v>13951.016815841012</v>
      </c>
    </row>
    <row r="278" spans="3:17" x14ac:dyDescent="0.25">
      <c r="C278" s="159"/>
      <c r="D278" s="165" t="s">
        <v>283</v>
      </c>
      <c r="E278" s="162">
        <v>29587</v>
      </c>
      <c r="F278" s="166" t="str">
        <f t="shared" si="10"/>
        <v>Date check - OK</v>
      </c>
      <c r="G278" s="68"/>
      <c r="H278" s="162" t="s">
        <v>279</v>
      </c>
      <c r="I278" s="173">
        <v>89592.114709699614</v>
      </c>
      <c r="J278" s="168">
        <f>IFERROR(MIN('MP Calculations'!$E$30/I278,1),"-")</f>
        <v>0.31014580161562261</v>
      </c>
      <c r="K278" s="12"/>
      <c r="L278" s="159">
        <v>8.9978479999999994</v>
      </c>
      <c r="M278" s="187" t="s">
        <v>408</v>
      </c>
      <c r="N278" s="187">
        <v>480.89954999999998</v>
      </c>
      <c r="O278" s="186">
        <f t="shared" si="11"/>
        <v>4327.0610541683991</v>
      </c>
      <c r="P278" s="186">
        <f t="shared" si="12"/>
        <v>1342.019819284799</v>
      </c>
      <c r="Q278" s="215">
        <f>IF(P278="-",0,P278/(1+'General inputs'!$H$30)^'MP Calculations'!$C$40)</f>
        <v>2981.0138698345713</v>
      </c>
    </row>
    <row r="279" spans="3:17" x14ac:dyDescent="0.25">
      <c r="C279" s="159"/>
      <c r="D279" s="165" t="s">
        <v>283</v>
      </c>
      <c r="E279" s="162">
        <v>29587</v>
      </c>
      <c r="F279" s="166" t="str">
        <f t="shared" ref="F279:F342" si="13">IF(E279="","-",IF(OR(E279&lt;$E$15,E279&gt;$E$16),"ERROR - date outside of range","Date check - OK"))</f>
        <v>Date check - OK</v>
      </c>
      <c r="G279" s="68"/>
      <c r="H279" s="162" t="s">
        <v>279</v>
      </c>
      <c r="I279" s="173">
        <v>89592.114709699614</v>
      </c>
      <c r="J279" s="168">
        <f>IFERROR(MIN('MP Calculations'!$E$30/I279,1),"-")</f>
        <v>0.31014580161562261</v>
      </c>
      <c r="K279" s="12"/>
      <c r="L279" s="159">
        <v>10.396245</v>
      </c>
      <c r="M279" s="187" t="s">
        <v>408</v>
      </c>
      <c r="N279" s="187">
        <v>480.89954999999998</v>
      </c>
      <c r="O279" s="186">
        <f t="shared" ref="O279:O342" si="14">IF(N279="","-",L279*N279)</f>
        <v>4999.5495421897504</v>
      </c>
      <c r="P279" s="186">
        <f t="shared" ref="P279:P342" si="15">IF(O279="-","-",IF(OR(E279&lt;$E$15,E279&gt;$E$16),0,O279*J279))</f>
        <v>1550.5893004794591</v>
      </c>
      <c r="Q279" s="215">
        <f>IF(P279="-",0,P279/(1+'General inputs'!$H$30)^'MP Calculations'!$C$40)</f>
        <v>3444.3069653097409</v>
      </c>
    </row>
    <row r="280" spans="3:17" x14ac:dyDescent="0.25">
      <c r="C280" s="159"/>
      <c r="D280" s="165" t="s">
        <v>283</v>
      </c>
      <c r="E280" s="162">
        <v>29587</v>
      </c>
      <c r="F280" s="166" t="str">
        <f t="shared" si="13"/>
        <v>Date check - OK</v>
      </c>
      <c r="G280" s="68"/>
      <c r="H280" s="162" t="s">
        <v>279</v>
      </c>
      <c r="I280" s="173">
        <v>89592.114709699614</v>
      </c>
      <c r="J280" s="168">
        <f>IFERROR(MIN('MP Calculations'!$E$30/I280,1),"-")</f>
        <v>0.31014580161562261</v>
      </c>
      <c r="K280" s="12"/>
      <c r="L280" s="159">
        <v>10.998089999999999</v>
      </c>
      <c r="M280" s="187" t="s">
        <v>408</v>
      </c>
      <c r="N280" s="187">
        <v>480.89954999999998</v>
      </c>
      <c r="O280" s="186">
        <f t="shared" si="14"/>
        <v>5288.9765318594991</v>
      </c>
      <c r="P280" s="186">
        <f t="shared" si="15"/>
        <v>1640.35386619978</v>
      </c>
      <c r="Q280" s="215">
        <f>IF(P280="-",0,P280/(1+'General inputs'!$H$30)^'MP Calculations'!$C$40)</f>
        <v>3643.7000082340692</v>
      </c>
    </row>
    <row r="281" spans="3:17" x14ac:dyDescent="0.25">
      <c r="C281" s="159"/>
      <c r="D281" s="165" t="s">
        <v>316</v>
      </c>
      <c r="E281" s="162">
        <v>29767</v>
      </c>
      <c r="F281" s="166" t="str">
        <f t="shared" si="13"/>
        <v>Date check - OK</v>
      </c>
      <c r="G281" s="68"/>
      <c r="H281" s="162" t="s">
        <v>279</v>
      </c>
      <c r="I281" s="173">
        <v>89592.114709699614</v>
      </c>
      <c r="J281" s="168">
        <f>IFERROR(MIN('MP Calculations'!$E$30/I281,1),"-")</f>
        <v>0.31014580161562261</v>
      </c>
      <c r="K281" s="12"/>
      <c r="L281" s="159">
        <v>1</v>
      </c>
      <c r="M281" s="187" t="s">
        <v>409</v>
      </c>
      <c r="N281" s="187">
        <v>44455.955762999998</v>
      </c>
      <c r="O281" s="186">
        <f t="shared" si="14"/>
        <v>44455.955762999998</v>
      </c>
      <c r="P281" s="186">
        <f t="shared" si="15"/>
        <v>13787.828036704292</v>
      </c>
      <c r="Q281" s="215">
        <f>IF(P281="-",0,P281/(1+'General inputs'!$H$30)^'MP Calculations'!$C$40)</f>
        <v>30626.750828623186</v>
      </c>
    </row>
    <row r="282" spans="3:17" x14ac:dyDescent="0.25">
      <c r="C282" s="159"/>
      <c r="D282" s="165" t="s">
        <v>281</v>
      </c>
      <c r="E282" s="162">
        <v>29913</v>
      </c>
      <c r="F282" s="166" t="str">
        <f t="shared" si="13"/>
        <v>Date check - OK</v>
      </c>
      <c r="G282" s="68"/>
      <c r="H282" s="162" t="s">
        <v>279</v>
      </c>
      <c r="I282" s="173">
        <v>89592.114709699614</v>
      </c>
      <c r="J282" s="168">
        <f>IFERROR(MIN('MP Calculations'!$E$30/I282,1),"-")</f>
        <v>0.31014580161562261</v>
      </c>
      <c r="K282" s="12"/>
      <c r="L282" s="159">
        <v>33.255288</v>
      </c>
      <c r="M282" s="187" t="s">
        <v>408</v>
      </c>
      <c r="N282" s="187">
        <v>657.22938499999998</v>
      </c>
      <c r="O282" s="186">
        <f t="shared" si="14"/>
        <v>21856.352480237878</v>
      </c>
      <c r="P282" s="186">
        <f t="shared" si="15"/>
        <v>6778.6559603769783</v>
      </c>
      <c r="Q282" s="215">
        <f>IF(P282="-",0,P282/(1+'General inputs'!$H$30)^'MP Calculations'!$C$40)</f>
        <v>15057.353957327985</v>
      </c>
    </row>
    <row r="283" spans="3:17" x14ac:dyDescent="0.25">
      <c r="C283" s="159"/>
      <c r="D283" s="165" t="s">
        <v>284</v>
      </c>
      <c r="E283" s="162">
        <v>29952</v>
      </c>
      <c r="F283" s="166" t="str">
        <f t="shared" si="13"/>
        <v>Date check - OK</v>
      </c>
      <c r="G283" s="68"/>
      <c r="H283" s="162" t="s">
        <v>279</v>
      </c>
      <c r="I283" s="173">
        <v>89592.114709699614</v>
      </c>
      <c r="J283" s="168">
        <f>IFERROR(MIN('MP Calculations'!$E$30/I283,1),"-")</f>
        <v>0.31014580161562261</v>
      </c>
      <c r="K283" s="12"/>
      <c r="L283" s="159">
        <v>45.676769</v>
      </c>
      <c r="M283" s="187" t="s">
        <v>408</v>
      </c>
      <c r="N283" s="187">
        <v>304.56971499999997</v>
      </c>
      <c r="O283" s="186">
        <f t="shared" si="14"/>
        <v>13911.760516450833</v>
      </c>
      <c r="P283" s="186">
        <f t="shared" si="15"/>
        <v>4314.6741172592119</v>
      </c>
      <c r="Q283" s="215">
        <f>IF(P283="-",0,P283/(1+'General inputs'!$H$30)^'MP Calculations'!$C$40)</f>
        <v>9584.1381792860029</v>
      </c>
    </row>
    <row r="284" spans="3:17" x14ac:dyDescent="0.25">
      <c r="C284" s="159"/>
      <c r="D284" s="165" t="s">
        <v>284</v>
      </c>
      <c r="E284" s="162">
        <v>29952</v>
      </c>
      <c r="F284" s="166" t="str">
        <f t="shared" si="13"/>
        <v>Date check - OK</v>
      </c>
      <c r="G284" s="68"/>
      <c r="H284" s="162" t="s">
        <v>279</v>
      </c>
      <c r="I284" s="173">
        <v>89592.114709699614</v>
      </c>
      <c r="J284" s="168">
        <f>IFERROR(MIN('MP Calculations'!$E$30/I284,1),"-")</f>
        <v>0.31014580161562261</v>
      </c>
      <c r="K284" s="12"/>
      <c r="L284" s="159">
        <v>32.704999999999998</v>
      </c>
      <c r="M284" s="187" t="s">
        <v>408</v>
      </c>
      <c r="N284" s="187">
        <v>304.56971499999997</v>
      </c>
      <c r="O284" s="186">
        <f t="shared" si="14"/>
        <v>9960.9525290749989</v>
      </c>
      <c r="P284" s="186">
        <f t="shared" si="15"/>
        <v>3089.347606985129</v>
      </c>
      <c r="Q284" s="215">
        <f>IF(P284="-",0,P284/(1+'General inputs'!$H$30)^'MP Calculations'!$C$40)</f>
        <v>6862.333873780537</v>
      </c>
    </row>
    <row r="285" spans="3:17" x14ac:dyDescent="0.25">
      <c r="C285" s="159"/>
      <c r="D285" s="165" t="s">
        <v>317</v>
      </c>
      <c r="E285" s="162">
        <v>30132</v>
      </c>
      <c r="F285" s="166" t="str">
        <f t="shared" si="13"/>
        <v>Date check - OK</v>
      </c>
      <c r="G285" s="68"/>
      <c r="H285" s="162" t="s">
        <v>279</v>
      </c>
      <c r="I285" s="173">
        <v>89592.114709699614</v>
      </c>
      <c r="J285" s="168">
        <f>IFERROR(MIN('MP Calculations'!$E$30/I285,1),"-")</f>
        <v>0.31014580161562261</v>
      </c>
      <c r="K285" s="12"/>
      <c r="L285" s="159">
        <v>1</v>
      </c>
      <c r="M285" s="187" t="s">
        <v>409</v>
      </c>
      <c r="N285" s="187">
        <v>316894.19752599997</v>
      </c>
      <c r="O285" s="186">
        <f t="shared" si="14"/>
        <v>316894.19752599997</v>
      </c>
      <c r="P285" s="186">
        <f t="shared" si="15"/>
        <v>98283.40491904071</v>
      </c>
      <c r="Q285" s="215">
        <f>IF(P285="-",0,P285/(1+'General inputs'!$H$30)^'MP Calculations'!$C$40)</f>
        <v>218315.84677666487</v>
      </c>
    </row>
    <row r="286" spans="3:17" x14ac:dyDescent="0.25">
      <c r="C286" s="159"/>
      <c r="D286" s="165" t="s">
        <v>283</v>
      </c>
      <c r="E286" s="162">
        <v>30215</v>
      </c>
      <c r="F286" s="166" t="str">
        <f t="shared" si="13"/>
        <v>Date check - OK</v>
      </c>
      <c r="G286" s="68"/>
      <c r="H286" s="162" t="s">
        <v>279</v>
      </c>
      <c r="I286" s="173">
        <v>89592.114709699614</v>
      </c>
      <c r="J286" s="168">
        <f>IFERROR(MIN('MP Calculations'!$E$30/I286,1),"-")</f>
        <v>0.31014580161562261</v>
      </c>
      <c r="K286" s="12"/>
      <c r="L286" s="159">
        <v>6.9943439999999999</v>
      </c>
      <c r="M286" s="187" t="s">
        <v>408</v>
      </c>
      <c r="N286" s="187">
        <v>480.89954999999998</v>
      </c>
      <c r="O286" s="186">
        <f t="shared" si="14"/>
        <v>3363.5768821451998</v>
      </c>
      <c r="P286" s="186">
        <f t="shared" si="15"/>
        <v>1043.1992484086995</v>
      </c>
      <c r="Q286" s="215">
        <f>IF(P286="-",0,P286/(1+'General inputs'!$H$30)^'MP Calculations'!$C$40)</f>
        <v>2317.2470211092937</v>
      </c>
    </row>
    <row r="287" spans="3:17" x14ac:dyDescent="0.25">
      <c r="C287" s="159"/>
      <c r="D287" s="165" t="s">
        <v>281</v>
      </c>
      <c r="E287" s="162">
        <v>30265</v>
      </c>
      <c r="F287" s="166" t="str">
        <f t="shared" si="13"/>
        <v>Date check - OK</v>
      </c>
      <c r="G287" s="68"/>
      <c r="H287" s="162" t="s">
        <v>279</v>
      </c>
      <c r="I287" s="173">
        <v>89592.114709699614</v>
      </c>
      <c r="J287" s="168">
        <f>IFERROR(MIN('MP Calculations'!$E$30/I287,1),"-")</f>
        <v>0.31014580161562261</v>
      </c>
      <c r="K287" s="12"/>
      <c r="L287" s="159">
        <v>5.5993000000000004</v>
      </c>
      <c r="M287" s="187" t="s">
        <v>408</v>
      </c>
      <c r="N287" s="187">
        <v>657.22938499999998</v>
      </c>
      <c r="O287" s="186">
        <f t="shared" si="14"/>
        <v>3680.0244954305003</v>
      </c>
      <c r="P287" s="186">
        <f t="shared" si="15"/>
        <v>1141.3441471004196</v>
      </c>
      <c r="Q287" s="215">
        <f>IF(P287="-",0,P287/(1+'General inputs'!$H$30)^'MP Calculations'!$C$40)</f>
        <v>2535.2552055260085</v>
      </c>
    </row>
    <row r="288" spans="3:17" x14ac:dyDescent="0.25">
      <c r="C288" s="159"/>
      <c r="D288" s="165" t="s">
        <v>311</v>
      </c>
      <c r="E288" s="162">
        <v>30317</v>
      </c>
      <c r="F288" s="166" t="str">
        <f t="shared" si="13"/>
        <v>Date check - OK</v>
      </c>
      <c r="G288" s="68"/>
      <c r="H288" s="162" t="s">
        <v>279</v>
      </c>
      <c r="I288" s="173">
        <v>89592.114709699614</v>
      </c>
      <c r="J288" s="168">
        <f>IFERROR(MIN('MP Calculations'!$E$30/I288,1),"-")</f>
        <v>0.31014580161562261</v>
      </c>
      <c r="K288" s="12"/>
      <c r="L288" s="159">
        <v>78.455331000000001</v>
      </c>
      <c r="M288" s="187" t="s">
        <v>408</v>
      </c>
      <c r="N288" s="187">
        <v>1715.208396</v>
      </c>
      <c r="O288" s="186">
        <f t="shared" si="14"/>
        <v>134567.24244215907</v>
      </c>
      <c r="P288" s="186">
        <f t="shared" si="15"/>
        <v>41735.465278427255</v>
      </c>
      <c r="Q288" s="215">
        <f>IF(P288="-",0,P288/(1+'General inputs'!$H$30)^'MP Calculations'!$C$40)</f>
        <v>92706.530165325428</v>
      </c>
    </row>
    <row r="289" spans="3:17" x14ac:dyDescent="0.25">
      <c r="C289" s="159"/>
      <c r="D289" s="165" t="s">
        <v>311</v>
      </c>
      <c r="E289" s="162">
        <v>30317</v>
      </c>
      <c r="F289" s="166" t="str">
        <f t="shared" si="13"/>
        <v>Date check - OK</v>
      </c>
      <c r="G289" s="68"/>
      <c r="H289" s="162" t="s">
        <v>279</v>
      </c>
      <c r="I289" s="173">
        <v>89592.114709699614</v>
      </c>
      <c r="J289" s="168">
        <f>IFERROR(MIN('MP Calculations'!$E$30/I289,1),"-")</f>
        <v>0.31014580161562261</v>
      </c>
      <c r="K289" s="12"/>
      <c r="L289" s="159">
        <v>24.390222000000001</v>
      </c>
      <c r="M289" s="187" t="s">
        <v>408</v>
      </c>
      <c r="N289" s="187">
        <v>1715.208396</v>
      </c>
      <c r="O289" s="186">
        <f t="shared" si="14"/>
        <v>41834.313554703913</v>
      </c>
      <c r="P289" s="186">
        <f t="shared" si="15"/>
        <v>12974.736712462951</v>
      </c>
      <c r="Q289" s="215">
        <f>IF(P289="-",0,P289/(1+'General inputs'!$H$30)^'MP Calculations'!$C$40)</f>
        <v>28820.640009561419</v>
      </c>
    </row>
    <row r="290" spans="3:17" x14ac:dyDescent="0.25">
      <c r="C290" s="159"/>
      <c r="D290" s="165" t="s">
        <v>311</v>
      </c>
      <c r="E290" s="162">
        <v>30317</v>
      </c>
      <c r="F290" s="166" t="str">
        <f t="shared" si="13"/>
        <v>Date check - OK</v>
      </c>
      <c r="G290" s="68"/>
      <c r="H290" s="162" t="s">
        <v>279</v>
      </c>
      <c r="I290" s="173">
        <v>89592.114709699614</v>
      </c>
      <c r="J290" s="168">
        <f>IFERROR(MIN('MP Calculations'!$E$30/I290,1),"-")</f>
        <v>0.31014580161562261</v>
      </c>
      <c r="K290" s="12"/>
      <c r="L290" s="159">
        <v>112.528893</v>
      </c>
      <c r="M290" s="187" t="s">
        <v>408</v>
      </c>
      <c r="N290" s="187">
        <v>1715.208396</v>
      </c>
      <c r="O290" s="186">
        <f t="shared" si="14"/>
        <v>193010.50206618561</v>
      </c>
      <c r="P290" s="186">
        <f t="shared" si="15"/>
        <v>59861.396883550922</v>
      </c>
      <c r="Q290" s="215">
        <f>IF(P290="-",0,P290/(1+'General inputs'!$H$30)^'MP Calculations'!$C$40)</f>
        <v>132969.46275550325</v>
      </c>
    </row>
    <row r="291" spans="3:17" x14ac:dyDescent="0.25">
      <c r="C291" s="159"/>
      <c r="D291" s="165" t="s">
        <v>311</v>
      </c>
      <c r="E291" s="162">
        <v>30317</v>
      </c>
      <c r="F291" s="166" t="str">
        <f t="shared" si="13"/>
        <v>Date check - OK</v>
      </c>
      <c r="G291" s="68"/>
      <c r="H291" s="162" t="s">
        <v>279</v>
      </c>
      <c r="I291" s="173">
        <v>89592.114709699614</v>
      </c>
      <c r="J291" s="168">
        <f>IFERROR(MIN('MP Calculations'!$E$30/I291,1),"-")</f>
        <v>0.31014580161562261</v>
      </c>
      <c r="K291" s="12"/>
      <c r="L291" s="159">
        <v>42.063487000000002</v>
      </c>
      <c r="M291" s="187" t="s">
        <v>408</v>
      </c>
      <c r="N291" s="187">
        <v>1715.208396</v>
      </c>
      <c r="O291" s="186">
        <f t="shared" si="14"/>
        <v>72147.646067436857</v>
      </c>
      <c r="P291" s="186">
        <f t="shared" si="15"/>
        <v>22376.289524265427</v>
      </c>
      <c r="Q291" s="215">
        <f>IF(P291="-",0,P291/(1+'General inputs'!$H$30)^'MP Calculations'!$C$40)</f>
        <v>49704.205905705436</v>
      </c>
    </row>
    <row r="292" spans="3:17" x14ac:dyDescent="0.25">
      <c r="C292" s="159"/>
      <c r="D292" s="165" t="s">
        <v>311</v>
      </c>
      <c r="E292" s="162">
        <v>30317</v>
      </c>
      <c r="F292" s="166" t="str">
        <f t="shared" si="13"/>
        <v>Date check - OK</v>
      </c>
      <c r="G292" s="68"/>
      <c r="H292" s="162" t="s">
        <v>279</v>
      </c>
      <c r="I292" s="173">
        <v>89592.114709699614</v>
      </c>
      <c r="J292" s="168">
        <f>IFERROR(MIN('MP Calculations'!$E$30/I292,1),"-")</f>
        <v>0.31014580161562261</v>
      </c>
      <c r="K292" s="12"/>
      <c r="L292" s="159">
        <v>113.190067</v>
      </c>
      <c r="M292" s="187" t="s">
        <v>408</v>
      </c>
      <c r="N292" s="187">
        <v>1715.208396</v>
      </c>
      <c r="O292" s="186">
        <f t="shared" si="14"/>
        <v>194144.55326220253</v>
      </c>
      <c r="P292" s="186">
        <f t="shared" si="15"/>
        <v>60213.118100812746</v>
      </c>
      <c r="Q292" s="215">
        <f>IF(P292="-",0,P292/(1+'General inputs'!$H$30)^'MP Calculations'!$C$40)</f>
        <v>133750.73722843267</v>
      </c>
    </row>
    <row r="293" spans="3:17" x14ac:dyDescent="0.25">
      <c r="C293" s="159"/>
      <c r="D293" s="165" t="s">
        <v>311</v>
      </c>
      <c r="E293" s="162">
        <v>30317</v>
      </c>
      <c r="F293" s="166" t="str">
        <f t="shared" si="13"/>
        <v>Date check - OK</v>
      </c>
      <c r="G293" s="68"/>
      <c r="H293" s="162" t="s">
        <v>279</v>
      </c>
      <c r="I293" s="173">
        <v>89592.114709699614</v>
      </c>
      <c r="J293" s="168">
        <f>IFERROR(MIN('MP Calculations'!$E$30/I293,1),"-")</f>
        <v>0.31014580161562261</v>
      </c>
      <c r="K293" s="12"/>
      <c r="L293" s="159">
        <v>69.064024000000003</v>
      </c>
      <c r="M293" s="187" t="s">
        <v>408</v>
      </c>
      <c r="N293" s="187">
        <v>1715.208396</v>
      </c>
      <c r="O293" s="186">
        <f t="shared" si="14"/>
        <v>118459.19382634551</v>
      </c>
      <c r="P293" s="186">
        <f t="shared" si="15"/>
        <v>36739.621628012341</v>
      </c>
      <c r="Q293" s="215">
        <f>IF(P293="-",0,P293/(1+'General inputs'!$H$30)^'MP Calculations'!$C$40)</f>
        <v>81609.317591111307</v>
      </c>
    </row>
    <row r="294" spans="3:17" x14ac:dyDescent="0.25">
      <c r="C294" s="159"/>
      <c r="D294" s="165" t="s">
        <v>311</v>
      </c>
      <c r="E294" s="162">
        <v>30317</v>
      </c>
      <c r="F294" s="166" t="str">
        <f t="shared" si="13"/>
        <v>Date check - OK</v>
      </c>
      <c r="G294" s="68"/>
      <c r="H294" s="162" t="s">
        <v>279</v>
      </c>
      <c r="I294" s="173">
        <v>89592.114709699614</v>
      </c>
      <c r="J294" s="168">
        <f>IFERROR(MIN('MP Calculations'!$E$30/I294,1),"-")</f>
        <v>0.31014580161562261</v>
      </c>
      <c r="K294" s="12"/>
      <c r="L294" s="159">
        <v>20.410412999999998</v>
      </c>
      <c r="M294" s="187" t="s">
        <v>408</v>
      </c>
      <c r="N294" s="187">
        <v>1715.208396</v>
      </c>
      <c r="O294" s="186">
        <f t="shared" si="14"/>
        <v>35008.111743427544</v>
      </c>
      <c r="P294" s="186">
        <f t="shared" si="15"/>
        <v>10857.618879714628</v>
      </c>
      <c r="Q294" s="215">
        <f>IF(P294="-",0,P294/(1+'General inputs'!$H$30)^'MP Calculations'!$C$40)</f>
        <v>24117.909444181052</v>
      </c>
    </row>
    <row r="295" spans="3:17" x14ac:dyDescent="0.25">
      <c r="C295" s="159"/>
      <c r="D295" s="165" t="s">
        <v>311</v>
      </c>
      <c r="E295" s="162">
        <v>30317</v>
      </c>
      <c r="F295" s="166" t="str">
        <f t="shared" si="13"/>
        <v>Date check - OK</v>
      </c>
      <c r="G295" s="68"/>
      <c r="H295" s="162" t="s">
        <v>279</v>
      </c>
      <c r="I295" s="173">
        <v>89592.114709699614</v>
      </c>
      <c r="J295" s="168">
        <f>IFERROR(MIN('MP Calculations'!$E$30/I295,1),"-")</f>
        <v>0.31014580161562261</v>
      </c>
      <c r="K295" s="12"/>
      <c r="L295" s="159">
        <v>12.169401000000001</v>
      </c>
      <c r="M295" s="187" t="s">
        <v>408</v>
      </c>
      <c r="N295" s="187">
        <v>1715.208396</v>
      </c>
      <c r="O295" s="186">
        <f t="shared" si="14"/>
        <v>20873.058769490795</v>
      </c>
      <c r="P295" s="186">
        <f t="shared" si="15"/>
        <v>6473.691544233724</v>
      </c>
      <c r="Q295" s="215">
        <f>IF(P295="-",0,P295/(1+'General inputs'!$H$30)^'MP Calculations'!$C$40)</f>
        <v>14379.939852658854</v>
      </c>
    </row>
    <row r="296" spans="3:17" x14ac:dyDescent="0.25">
      <c r="C296" s="159"/>
      <c r="D296" s="165" t="s">
        <v>311</v>
      </c>
      <c r="E296" s="162">
        <v>30317</v>
      </c>
      <c r="F296" s="166" t="str">
        <f t="shared" si="13"/>
        <v>Date check - OK</v>
      </c>
      <c r="G296" s="68"/>
      <c r="H296" s="162" t="s">
        <v>279</v>
      </c>
      <c r="I296" s="173">
        <v>89592.114709699614</v>
      </c>
      <c r="J296" s="168">
        <f>IFERROR(MIN('MP Calculations'!$E$30/I296,1),"-")</f>
        <v>0.31014580161562261</v>
      </c>
      <c r="K296" s="12"/>
      <c r="L296" s="159">
        <v>49.077568999999997</v>
      </c>
      <c r="M296" s="187" t="s">
        <v>408</v>
      </c>
      <c r="N296" s="187">
        <v>1715.208396</v>
      </c>
      <c r="O296" s="186">
        <f t="shared" si="14"/>
        <v>84178.258404069318</v>
      </c>
      <c r="P296" s="186">
        <f t="shared" si="15"/>
        <v>26107.533431337099</v>
      </c>
      <c r="Q296" s="215">
        <f>IF(P296="-",0,P296/(1+'General inputs'!$H$30)^'MP Calculations'!$C$40)</f>
        <v>57992.376973584374</v>
      </c>
    </row>
    <row r="297" spans="3:17" x14ac:dyDescent="0.25">
      <c r="C297" s="159"/>
      <c r="D297" s="165" t="s">
        <v>311</v>
      </c>
      <c r="E297" s="162">
        <v>30317</v>
      </c>
      <c r="F297" s="166" t="str">
        <f t="shared" si="13"/>
        <v>Date check - OK</v>
      </c>
      <c r="G297" s="68"/>
      <c r="H297" s="162" t="s">
        <v>279</v>
      </c>
      <c r="I297" s="173">
        <v>89592.114709699614</v>
      </c>
      <c r="J297" s="168">
        <f>IFERROR(MIN('MP Calculations'!$E$30/I297,1),"-")</f>
        <v>0.31014580161562261</v>
      </c>
      <c r="K297" s="12"/>
      <c r="L297" s="159">
        <v>5.005433</v>
      </c>
      <c r="M297" s="187" t="s">
        <v>408</v>
      </c>
      <c r="N297" s="187">
        <v>1715.208396</v>
      </c>
      <c r="O297" s="186">
        <f t="shared" si="14"/>
        <v>8585.3607072154682</v>
      </c>
      <c r="P297" s="186">
        <f t="shared" si="15"/>
        <v>2662.71357869861</v>
      </c>
      <c r="Q297" s="215">
        <f>IF(P297="-",0,P297/(1+'General inputs'!$H$30)^'MP Calculations'!$C$40)</f>
        <v>5914.6563973455859</v>
      </c>
    </row>
    <row r="298" spans="3:17" x14ac:dyDescent="0.25">
      <c r="C298" s="159"/>
      <c r="D298" s="165" t="s">
        <v>311</v>
      </c>
      <c r="E298" s="162">
        <v>30317</v>
      </c>
      <c r="F298" s="166" t="str">
        <f t="shared" si="13"/>
        <v>Date check - OK</v>
      </c>
      <c r="G298" s="68"/>
      <c r="H298" s="162" t="s">
        <v>279</v>
      </c>
      <c r="I298" s="173">
        <v>89592.114709699614</v>
      </c>
      <c r="J298" s="168">
        <f>IFERROR(MIN('MP Calculations'!$E$30/I298,1),"-")</f>
        <v>0.31014580161562261</v>
      </c>
      <c r="K298" s="12"/>
      <c r="L298" s="159">
        <v>29.427952000000001</v>
      </c>
      <c r="M298" s="187" t="s">
        <v>408</v>
      </c>
      <c r="N298" s="187">
        <v>1715.208396</v>
      </c>
      <c r="O298" s="186">
        <f t="shared" si="14"/>
        <v>50475.070347484994</v>
      </c>
      <c r="P298" s="186">
        <f t="shared" si="15"/>
        <v>15654.631154525676</v>
      </c>
      <c r="Q298" s="215">
        <f>IF(P298="-",0,P298/(1+'General inputs'!$H$30)^'MP Calculations'!$C$40)</f>
        <v>34773.460069803914</v>
      </c>
    </row>
    <row r="299" spans="3:17" x14ac:dyDescent="0.25">
      <c r="C299" s="159"/>
      <c r="D299" s="165" t="s">
        <v>311</v>
      </c>
      <c r="E299" s="162">
        <v>30317</v>
      </c>
      <c r="F299" s="166" t="str">
        <f t="shared" si="13"/>
        <v>Date check - OK</v>
      </c>
      <c r="G299" s="68"/>
      <c r="H299" s="162" t="s">
        <v>279</v>
      </c>
      <c r="I299" s="173">
        <v>89592.114709699614</v>
      </c>
      <c r="J299" s="168">
        <f>IFERROR(MIN('MP Calculations'!$E$30/I299,1),"-")</f>
        <v>0.31014580161562261</v>
      </c>
      <c r="K299" s="12"/>
      <c r="L299" s="159">
        <v>33.927069000000003</v>
      </c>
      <c r="M299" s="187" t="s">
        <v>408</v>
      </c>
      <c r="N299" s="187">
        <v>1715.208396</v>
      </c>
      <c r="O299" s="186">
        <f t="shared" si="14"/>
        <v>58191.993600471331</v>
      </c>
      <c r="P299" s="186">
        <f t="shared" si="15"/>
        <v>18048.00250282936</v>
      </c>
      <c r="Q299" s="215">
        <f>IF(P299="-",0,P299/(1+'General inputs'!$H$30)^'MP Calculations'!$C$40)</f>
        <v>40089.829532037511</v>
      </c>
    </row>
    <row r="300" spans="3:17" x14ac:dyDescent="0.25">
      <c r="C300" s="159"/>
      <c r="D300" s="165" t="s">
        <v>311</v>
      </c>
      <c r="E300" s="162">
        <v>30317</v>
      </c>
      <c r="F300" s="166" t="str">
        <f t="shared" si="13"/>
        <v>Date check - OK</v>
      </c>
      <c r="G300" s="68"/>
      <c r="H300" s="162" t="s">
        <v>279</v>
      </c>
      <c r="I300" s="173">
        <v>89592.114709699614</v>
      </c>
      <c r="J300" s="168">
        <f>IFERROR(MIN('MP Calculations'!$E$30/I300,1),"-")</f>
        <v>0.31014580161562261</v>
      </c>
      <c r="K300" s="12"/>
      <c r="L300" s="159">
        <v>149.34996899999999</v>
      </c>
      <c r="M300" s="187" t="s">
        <v>408</v>
      </c>
      <c r="N300" s="187">
        <v>1715.208396</v>
      </c>
      <c r="O300" s="186">
        <f t="shared" si="14"/>
        <v>256166.3207711397</v>
      </c>
      <c r="P300" s="186">
        <f t="shared" si="15"/>
        <v>79448.908902489842</v>
      </c>
      <c r="Q300" s="215">
        <f>IF(P300="-",0,P300/(1+'General inputs'!$H$30)^'MP Calculations'!$C$40)</f>
        <v>176478.98784964555</v>
      </c>
    </row>
    <row r="301" spans="3:17" x14ac:dyDescent="0.25">
      <c r="C301" s="159"/>
      <c r="D301" s="165" t="s">
        <v>311</v>
      </c>
      <c r="E301" s="162">
        <v>30317</v>
      </c>
      <c r="F301" s="166" t="str">
        <f t="shared" si="13"/>
        <v>Date check - OK</v>
      </c>
      <c r="G301" s="68"/>
      <c r="H301" s="162" t="s">
        <v>279</v>
      </c>
      <c r="I301" s="173">
        <v>89592.114709699614</v>
      </c>
      <c r="J301" s="168">
        <f>IFERROR(MIN('MP Calculations'!$E$30/I301,1),"-")</f>
        <v>0.31014580161562261</v>
      </c>
      <c r="K301" s="12"/>
      <c r="L301" s="159">
        <v>6.7655000000000003</v>
      </c>
      <c r="M301" s="187" t="s">
        <v>408</v>
      </c>
      <c r="N301" s="187">
        <v>1715.208396</v>
      </c>
      <c r="O301" s="186">
        <f t="shared" si="14"/>
        <v>11604.242403138</v>
      </c>
      <c r="P301" s="186">
        <f t="shared" si="15"/>
        <v>3599.0070622632338</v>
      </c>
      <c r="Q301" s="215">
        <f>IF(P301="-",0,P301/(1+'General inputs'!$H$30)^'MP Calculations'!$C$40)</f>
        <v>7994.4348183746652</v>
      </c>
    </row>
    <row r="302" spans="3:17" x14ac:dyDescent="0.25">
      <c r="C302" s="159"/>
      <c r="D302" s="165" t="s">
        <v>311</v>
      </c>
      <c r="E302" s="162">
        <v>30317</v>
      </c>
      <c r="F302" s="166" t="str">
        <f t="shared" si="13"/>
        <v>Date check - OK</v>
      </c>
      <c r="G302" s="68"/>
      <c r="H302" s="162" t="s">
        <v>279</v>
      </c>
      <c r="I302" s="173">
        <v>89592.114709699614</v>
      </c>
      <c r="J302" s="168">
        <f>IFERROR(MIN('MP Calculations'!$E$30/I302,1),"-")</f>
        <v>0.31014580161562261</v>
      </c>
      <c r="K302" s="12"/>
      <c r="L302" s="159">
        <v>12.680077000000001</v>
      </c>
      <c r="M302" s="187" t="s">
        <v>408</v>
      </c>
      <c r="N302" s="187">
        <v>1715.208396</v>
      </c>
      <c r="O302" s="186">
        <f t="shared" si="14"/>
        <v>21748.974532326494</v>
      </c>
      <c r="P302" s="186">
        <f t="shared" si="15"/>
        <v>6745.3531406461616</v>
      </c>
      <c r="Q302" s="215">
        <f>IF(P302="-",0,P302/(1+'General inputs'!$H$30)^'MP Calculations'!$C$40)</f>
        <v>14983.378770005438</v>
      </c>
    </row>
    <row r="303" spans="3:17" x14ac:dyDescent="0.25">
      <c r="C303" s="159"/>
      <c r="D303" s="165" t="s">
        <v>311</v>
      </c>
      <c r="E303" s="162">
        <v>30317</v>
      </c>
      <c r="F303" s="166" t="str">
        <f t="shared" si="13"/>
        <v>Date check - OK</v>
      </c>
      <c r="G303" s="68"/>
      <c r="H303" s="162" t="s">
        <v>279</v>
      </c>
      <c r="I303" s="173">
        <v>89592.114709699614</v>
      </c>
      <c r="J303" s="168">
        <f>IFERROR(MIN('MP Calculations'!$E$30/I303,1),"-")</f>
        <v>0.31014580161562261</v>
      </c>
      <c r="K303" s="12"/>
      <c r="L303" s="159">
        <v>26.0242</v>
      </c>
      <c r="M303" s="187" t="s">
        <v>408</v>
      </c>
      <c r="N303" s="187">
        <v>1715.208396</v>
      </c>
      <c r="O303" s="186">
        <f t="shared" si="14"/>
        <v>44636.926339183199</v>
      </c>
      <c r="P303" s="186">
        <f t="shared" si="15"/>
        <v>13843.955301123471</v>
      </c>
      <c r="Q303" s="215">
        <f>IF(P303="-",0,P303/(1+'General inputs'!$H$30)^'MP Calculations'!$C$40)</f>
        <v>30751.425703990237</v>
      </c>
    </row>
    <row r="304" spans="3:17" x14ac:dyDescent="0.25">
      <c r="C304" s="159"/>
      <c r="D304" s="165" t="s">
        <v>311</v>
      </c>
      <c r="E304" s="162">
        <v>30317</v>
      </c>
      <c r="F304" s="166" t="str">
        <f t="shared" si="13"/>
        <v>Date check - OK</v>
      </c>
      <c r="G304" s="68"/>
      <c r="H304" s="162" t="s">
        <v>279</v>
      </c>
      <c r="I304" s="173">
        <v>89592.114709699614</v>
      </c>
      <c r="J304" s="168">
        <f>IFERROR(MIN('MP Calculations'!$E$30/I304,1),"-")</f>
        <v>0.31014580161562261</v>
      </c>
      <c r="K304" s="12"/>
      <c r="L304" s="159">
        <v>36.613841999999998</v>
      </c>
      <c r="M304" s="187" t="s">
        <v>408</v>
      </c>
      <c r="N304" s="187">
        <v>1715.208396</v>
      </c>
      <c r="O304" s="186">
        <f t="shared" si="14"/>
        <v>62800.369208217431</v>
      </c>
      <c r="P304" s="186">
        <f t="shared" si="15"/>
        <v>19477.270849839657</v>
      </c>
      <c r="Q304" s="215">
        <f>IF(P304="-",0,P304/(1+'General inputs'!$H$30)^'MP Calculations'!$C$40)</f>
        <v>43264.647597260911</v>
      </c>
    </row>
    <row r="305" spans="3:17" x14ac:dyDescent="0.25">
      <c r="C305" s="159"/>
      <c r="D305" s="165" t="s">
        <v>311</v>
      </c>
      <c r="E305" s="162">
        <v>30317</v>
      </c>
      <c r="F305" s="166" t="str">
        <f t="shared" si="13"/>
        <v>Date check - OK</v>
      </c>
      <c r="G305" s="68"/>
      <c r="H305" s="162" t="s">
        <v>279</v>
      </c>
      <c r="I305" s="173">
        <v>89592.114709699614</v>
      </c>
      <c r="J305" s="168">
        <f>IFERROR(MIN('MP Calculations'!$E$30/I305,1),"-")</f>
        <v>0.31014580161562261</v>
      </c>
      <c r="K305" s="12"/>
      <c r="L305" s="159">
        <v>96.947766999999999</v>
      </c>
      <c r="M305" s="187" t="s">
        <v>408</v>
      </c>
      <c r="N305" s="187">
        <v>1715.208396</v>
      </c>
      <c r="O305" s="186">
        <f t="shared" si="14"/>
        <v>166285.62393185173</v>
      </c>
      <c r="P305" s="186">
        <f t="shared" si="15"/>
        <v>51572.788131498113</v>
      </c>
      <c r="Q305" s="215">
        <f>IF(P305="-",0,P305/(1+'General inputs'!$H$30)^'MP Calculations'!$C$40)</f>
        <v>114558.06726309577</v>
      </c>
    </row>
    <row r="306" spans="3:17" x14ac:dyDescent="0.25">
      <c r="C306" s="159"/>
      <c r="D306" s="165" t="s">
        <v>311</v>
      </c>
      <c r="E306" s="162">
        <v>30317</v>
      </c>
      <c r="F306" s="166" t="str">
        <f t="shared" si="13"/>
        <v>Date check - OK</v>
      </c>
      <c r="G306" s="68"/>
      <c r="H306" s="162" t="s">
        <v>279</v>
      </c>
      <c r="I306" s="173">
        <v>89592.114709699614</v>
      </c>
      <c r="J306" s="168">
        <f>IFERROR(MIN('MP Calculations'!$E$30/I306,1),"-")</f>
        <v>0.31014580161562261</v>
      </c>
      <c r="K306" s="12"/>
      <c r="L306" s="159">
        <v>35.024706999999999</v>
      </c>
      <c r="M306" s="187" t="s">
        <v>408</v>
      </c>
      <c r="N306" s="187">
        <v>1715.208396</v>
      </c>
      <c r="O306" s="186">
        <f t="shared" si="14"/>
        <v>60074.671513839974</v>
      </c>
      <c r="P306" s="186">
        <f t="shared" si="15"/>
        <v>18631.907153455108</v>
      </c>
      <c r="Q306" s="215">
        <f>IF(P306="-",0,P306/(1+'General inputs'!$H$30)^'MP Calculations'!$C$40)</f>
        <v>41386.850512773766</v>
      </c>
    </row>
    <row r="307" spans="3:17" x14ac:dyDescent="0.25">
      <c r="C307" s="159"/>
      <c r="D307" s="165" t="s">
        <v>311</v>
      </c>
      <c r="E307" s="162">
        <v>30317</v>
      </c>
      <c r="F307" s="166" t="str">
        <f t="shared" si="13"/>
        <v>Date check - OK</v>
      </c>
      <c r="G307" s="68"/>
      <c r="H307" s="162" t="s">
        <v>279</v>
      </c>
      <c r="I307" s="173">
        <v>89592.114709699614</v>
      </c>
      <c r="J307" s="168">
        <f>IFERROR(MIN('MP Calculations'!$E$30/I307,1),"-")</f>
        <v>0.31014580161562261</v>
      </c>
      <c r="K307" s="12"/>
      <c r="L307" s="159">
        <v>65.412475999999998</v>
      </c>
      <c r="M307" s="187" t="s">
        <v>408</v>
      </c>
      <c r="N307" s="187">
        <v>1715.208396</v>
      </c>
      <c r="O307" s="186">
        <f t="shared" si="14"/>
        <v>112196.02803834849</v>
      </c>
      <c r="P307" s="186">
        <f t="shared" si="15"/>
        <v>34797.127054042467</v>
      </c>
      <c r="Q307" s="215">
        <f>IF(P307="-",0,P307/(1+'General inputs'!$H$30)^'MP Calculations'!$C$40)</f>
        <v>77294.475750572354</v>
      </c>
    </row>
    <row r="308" spans="3:17" x14ac:dyDescent="0.25">
      <c r="C308" s="159"/>
      <c r="D308" s="165" t="s">
        <v>311</v>
      </c>
      <c r="E308" s="162">
        <v>30317</v>
      </c>
      <c r="F308" s="166" t="str">
        <f t="shared" si="13"/>
        <v>Date check - OK</v>
      </c>
      <c r="G308" s="68"/>
      <c r="H308" s="162" t="s">
        <v>279</v>
      </c>
      <c r="I308" s="173">
        <v>89592.114709699614</v>
      </c>
      <c r="J308" s="168">
        <f>IFERROR(MIN('MP Calculations'!$E$30/I308,1),"-")</f>
        <v>0.31014580161562261</v>
      </c>
      <c r="K308" s="12"/>
      <c r="L308" s="159">
        <v>101.17719099999999</v>
      </c>
      <c r="M308" s="187" t="s">
        <v>408</v>
      </c>
      <c r="N308" s="187">
        <v>1715.208396</v>
      </c>
      <c r="O308" s="186">
        <f t="shared" si="14"/>
        <v>173539.96748689562</v>
      </c>
      <c r="P308" s="186">
        <f t="shared" si="15"/>
        <v>53822.692328572324</v>
      </c>
      <c r="Q308" s="215">
        <f>IF(P308="-",0,P308/(1+'General inputs'!$H$30)^'MP Calculations'!$C$40)</f>
        <v>119555.75471964286</v>
      </c>
    </row>
    <row r="309" spans="3:17" x14ac:dyDescent="0.25">
      <c r="C309" s="159"/>
      <c r="D309" s="165" t="s">
        <v>311</v>
      </c>
      <c r="E309" s="162">
        <v>30317</v>
      </c>
      <c r="F309" s="166" t="str">
        <f t="shared" si="13"/>
        <v>Date check - OK</v>
      </c>
      <c r="G309" s="68"/>
      <c r="H309" s="162" t="s">
        <v>279</v>
      </c>
      <c r="I309" s="173">
        <v>89592.114709699614</v>
      </c>
      <c r="J309" s="168">
        <f>IFERROR(MIN('MP Calculations'!$E$30/I309,1),"-")</f>
        <v>0.31014580161562261</v>
      </c>
      <c r="K309" s="12"/>
      <c r="L309" s="159">
        <v>62.631031</v>
      </c>
      <c r="M309" s="187" t="s">
        <v>408</v>
      </c>
      <c r="N309" s="187">
        <v>1715.208396</v>
      </c>
      <c r="O309" s="186">
        <f t="shared" si="14"/>
        <v>107425.27022133628</v>
      </c>
      <c r="P309" s="186">
        <f t="shared" si="15"/>
        <v>33317.496546571216</v>
      </c>
      <c r="Q309" s="215">
        <f>IF(P309="-",0,P309/(1+'General inputs'!$H$30)^'MP Calculations'!$C$40)</f>
        <v>74007.788772020271</v>
      </c>
    </row>
    <row r="310" spans="3:17" x14ac:dyDescent="0.25">
      <c r="C310" s="159"/>
      <c r="D310" s="165" t="s">
        <v>311</v>
      </c>
      <c r="E310" s="162">
        <v>30317</v>
      </c>
      <c r="F310" s="166" t="str">
        <f t="shared" si="13"/>
        <v>Date check - OK</v>
      </c>
      <c r="G310" s="68"/>
      <c r="H310" s="162" t="s">
        <v>279</v>
      </c>
      <c r="I310" s="173">
        <v>89592.114709699614</v>
      </c>
      <c r="J310" s="168">
        <f>IFERROR(MIN('MP Calculations'!$E$30/I310,1),"-")</f>
        <v>0.31014580161562261</v>
      </c>
      <c r="K310" s="12"/>
      <c r="L310" s="159">
        <v>164.258691</v>
      </c>
      <c r="M310" s="187" t="s">
        <v>408</v>
      </c>
      <c r="N310" s="187">
        <v>1715.208396</v>
      </c>
      <c r="O310" s="186">
        <f t="shared" si="14"/>
        <v>281737.88591916964</v>
      </c>
      <c r="P310" s="186">
        <f t="shared" si="15"/>
        <v>87379.822473891705</v>
      </c>
      <c r="Q310" s="215">
        <f>IF(P310="-",0,P310/(1+'General inputs'!$H$30)^'MP Calculations'!$C$40)</f>
        <v>194095.83896992763</v>
      </c>
    </row>
    <row r="311" spans="3:17" x14ac:dyDescent="0.25">
      <c r="C311" s="159"/>
      <c r="D311" s="165" t="s">
        <v>283</v>
      </c>
      <c r="E311" s="162">
        <v>30317</v>
      </c>
      <c r="F311" s="166" t="str">
        <f t="shared" si="13"/>
        <v>Date check - OK</v>
      </c>
      <c r="G311" s="68"/>
      <c r="H311" s="162" t="s">
        <v>279</v>
      </c>
      <c r="I311" s="173">
        <v>89592.114709699614</v>
      </c>
      <c r="J311" s="168">
        <f>IFERROR(MIN('MP Calculations'!$E$30/I311,1),"-")</f>
        <v>0.31014580161562261</v>
      </c>
      <c r="K311" s="12"/>
      <c r="L311" s="159">
        <v>6.3742850000000004</v>
      </c>
      <c r="M311" s="187" t="s">
        <v>408</v>
      </c>
      <c r="N311" s="187">
        <v>480.89954999999998</v>
      </c>
      <c r="O311" s="186">
        <f t="shared" si="14"/>
        <v>3065.3907880717502</v>
      </c>
      <c r="P311" s="186">
        <f t="shared" si="15"/>
        <v>950.71808323165806</v>
      </c>
      <c r="Q311" s="215">
        <f>IF(P311="-",0,P311/(1+'General inputs'!$H$30)^'MP Calculations'!$C$40)</f>
        <v>2111.8196256792139</v>
      </c>
    </row>
    <row r="312" spans="3:17" x14ac:dyDescent="0.25">
      <c r="C312" s="159"/>
      <c r="D312" s="165" t="s">
        <v>283</v>
      </c>
      <c r="E312" s="162">
        <v>30317</v>
      </c>
      <c r="F312" s="166" t="str">
        <f t="shared" si="13"/>
        <v>Date check - OK</v>
      </c>
      <c r="G312" s="68"/>
      <c r="H312" s="162" t="s">
        <v>279</v>
      </c>
      <c r="I312" s="173">
        <v>89592.114709699614</v>
      </c>
      <c r="J312" s="168">
        <f>IFERROR(MIN('MP Calculations'!$E$30/I312,1),"-")</f>
        <v>0.31014580161562261</v>
      </c>
      <c r="K312" s="12"/>
      <c r="L312" s="159">
        <v>17.386278999999998</v>
      </c>
      <c r="M312" s="187" t="s">
        <v>408</v>
      </c>
      <c r="N312" s="187">
        <v>480.89954999999998</v>
      </c>
      <c r="O312" s="186">
        <f t="shared" si="14"/>
        <v>8361.0537472744491</v>
      </c>
      <c r="P312" s="186">
        <f t="shared" si="15"/>
        <v>2593.1457167997391</v>
      </c>
      <c r="Q312" s="215">
        <f>IF(P312="-",0,P312/(1+'General inputs'!$H$30)^'MP Calculations'!$C$40)</f>
        <v>5760.1260705686009</v>
      </c>
    </row>
    <row r="313" spans="3:17" x14ac:dyDescent="0.25">
      <c r="C313" s="159"/>
      <c r="D313" s="165" t="s">
        <v>283</v>
      </c>
      <c r="E313" s="162">
        <v>30317</v>
      </c>
      <c r="F313" s="166" t="str">
        <f t="shared" si="13"/>
        <v>Date check - OK</v>
      </c>
      <c r="G313" s="68"/>
      <c r="H313" s="162" t="s">
        <v>279</v>
      </c>
      <c r="I313" s="173">
        <v>89592.114709699614</v>
      </c>
      <c r="J313" s="168">
        <f>IFERROR(MIN('MP Calculations'!$E$30/I313,1),"-")</f>
        <v>0.31014580161562261</v>
      </c>
      <c r="K313" s="12"/>
      <c r="L313" s="159">
        <v>97.719514000000004</v>
      </c>
      <c r="M313" s="187" t="s">
        <v>408</v>
      </c>
      <c r="N313" s="187">
        <v>480.89954999999998</v>
      </c>
      <c r="O313" s="186">
        <f t="shared" si="14"/>
        <v>46993.270308818697</v>
      </c>
      <c r="P313" s="186">
        <f t="shared" si="15"/>
        <v>14574.765490468211</v>
      </c>
      <c r="Q313" s="215">
        <f>IF(P313="-",0,P313/(1+'General inputs'!$H$30)^'MP Calculations'!$C$40)</f>
        <v>32374.766342740353</v>
      </c>
    </row>
    <row r="314" spans="3:17" x14ac:dyDescent="0.25">
      <c r="C314" s="159"/>
      <c r="D314" s="165" t="s">
        <v>311</v>
      </c>
      <c r="E314" s="162">
        <v>30317</v>
      </c>
      <c r="F314" s="166" t="str">
        <f t="shared" si="13"/>
        <v>Date check - OK</v>
      </c>
      <c r="G314" s="68"/>
      <c r="H314" s="162" t="s">
        <v>279</v>
      </c>
      <c r="I314" s="173">
        <v>89592.114709699614</v>
      </c>
      <c r="J314" s="168">
        <f>IFERROR(MIN('MP Calculations'!$E$30/I314,1),"-")</f>
        <v>0.31014580161562261</v>
      </c>
      <c r="K314" s="12"/>
      <c r="L314" s="159">
        <v>80.322599999999994</v>
      </c>
      <c r="M314" s="187" t="s">
        <v>408</v>
      </c>
      <c r="N314" s="187">
        <v>1715.208396</v>
      </c>
      <c r="O314" s="186">
        <f t="shared" si="14"/>
        <v>137769.99790854959</v>
      </c>
      <c r="P314" s="186">
        <f t="shared" si="15"/>
        <v>42728.786439929761</v>
      </c>
      <c r="Q314" s="215">
        <f>IF(P314="-",0,P314/(1+'General inputs'!$H$30)^'MP Calculations'!$C$40)</f>
        <v>94912.983540371133</v>
      </c>
    </row>
    <row r="315" spans="3:17" x14ac:dyDescent="0.25">
      <c r="C315" s="159"/>
      <c r="D315" s="165" t="s">
        <v>284</v>
      </c>
      <c r="E315" s="162">
        <v>30682</v>
      </c>
      <c r="F315" s="166" t="str">
        <f t="shared" si="13"/>
        <v>Date check - OK</v>
      </c>
      <c r="G315" s="68"/>
      <c r="H315" s="162" t="s">
        <v>279</v>
      </c>
      <c r="I315" s="173">
        <v>89592.114709699614</v>
      </c>
      <c r="J315" s="168">
        <f>IFERROR(MIN('MP Calculations'!$E$30/I315,1),"-")</f>
        <v>0.31014580161562261</v>
      </c>
      <c r="K315" s="12"/>
      <c r="L315" s="159">
        <v>14.701541000000001</v>
      </c>
      <c r="M315" s="187" t="s">
        <v>408</v>
      </c>
      <c r="N315" s="187">
        <v>304.56971499999997</v>
      </c>
      <c r="O315" s="186">
        <f t="shared" si="14"/>
        <v>4477.6441524308148</v>
      </c>
      <c r="P315" s="186">
        <f t="shared" si="15"/>
        <v>1388.7225350051601</v>
      </c>
      <c r="Q315" s="215">
        <f>IF(P315="-",0,P315/(1+'General inputs'!$H$30)^'MP Calculations'!$C$40)</f>
        <v>3084.7540987944776</v>
      </c>
    </row>
    <row r="316" spans="3:17" x14ac:dyDescent="0.25">
      <c r="C316" s="159"/>
      <c r="D316" s="165" t="s">
        <v>313</v>
      </c>
      <c r="E316" s="162">
        <v>30682</v>
      </c>
      <c r="F316" s="166" t="str">
        <f t="shared" si="13"/>
        <v>Date check - OK</v>
      </c>
      <c r="G316" s="68"/>
      <c r="H316" s="162" t="s">
        <v>279</v>
      </c>
      <c r="I316" s="173">
        <v>89592.114709699614</v>
      </c>
      <c r="J316" s="168">
        <f>IFERROR(MIN('MP Calculations'!$E$30/I316,1),"-")</f>
        <v>0.31014580161562261</v>
      </c>
      <c r="K316" s="12"/>
      <c r="L316" s="159">
        <v>0.75002500000000005</v>
      </c>
      <c r="M316" s="187" t="s">
        <v>408</v>
      </c>
      <c r="N316" s="187">
        <v>219.07646199999999</v>
      </c>
      <c r="O316" s="186">
        <f t="shared" si="14"/>
        <v>164.31282341155</v>
      </c>
      <c r="P316" s="186">
        <f t="shared" si="15"/>
        <v>50.960932332701418</v>
      </c>
      <c r="Q316" s="215">
        <f>IF(P316="-",0,P316/(1+'General inputs'!$H$30)^'MP Calculations'!$C$40)</f>
        <v>113.19895870423431</v>
      </c>
    </row>
    <row r="317" spans="3:17" x14ac:dyDescent="0.25">
      <c r="C317" s="159"/>
      <c r="D317" s="165" t="s">
        <v>292</v>
      </c>
      <c r="E317" s="162">
        <v>30682</v>
      </c>
      <c r="F317" s="166" t="str">
        <f t="shared" si="13"/>
        <v>Date check - OK</v>
      </c>
      <c r="G317" s="68"/>
      <c r="H317" s="162" t="s">
        <v>279</v>
      </c>
      <c r="I317" s="173">
        <v>89592.114709699614</v>
      </c>
      <c r="J317" s="168">
        <f>IFERROR(MIN('MP Calculations'!$E$30/I317,1),"-")</f>
        <v>0.31014580161562261</v>
      </c>
      <c r="K317" s="12"/>
      <c r="L317" s="159">
        <v>472.77941299999998</v>
      </c>
      <c r="M317" s="187" t="s">
        <v>408</v>
      </c>
      <c r="N317" s="187">
        <v>356.22188899999998</v>
      </c>
      <c r="O317" s="186">
        <f t="shared" si="14"/>
        <v>168414.37557917114</v>
      </c>
      <c r="P317" s="186">
        <f t="shared" si="15"/>
        <v>52233.011517596569</v>
      </c>
      <c r="Q317" s="215">
        <f>IF(P317="-",0,P317/(1+'General inputs'!$H$30)^'MP Calculations'!$C$40)</f>
        <v>116024.61421185656</v>
      </c>
    </row>
    <row r="318" spans="3:17" x14ac:dyDescent="0.25">
      <c r="C318" s="159"/>
      <c r="D318" s="165" t="s">
        <v>292</v>
      </c>
      <c r="E318" s="162">
        <v>30682</v>
      </c>
      <c r="F318" s="166" t="str">
        <f t="shared" si="13"/>
        <v>Date check - OK</v>
      </c>
      <c r="G318" s="68"/>
      <c r="H318" s="162" t="s">
        <v>279</v>
      </c>
      <c r="I318" s="173">
        <v>89592.114709699614</v>
      </c>
      <c r="J318" s="168">
        <f>IFERROR(MIN('MP Calculations'!$E$30/I318,1),"-")</f>
        <v>0.31014580161562261</v>
      </c>
      <c r="K318" s="12"/>
      <c r="L318" s="159">
        <v>0.45841999999999999</v>
      </c>
      <c r="M318" s="187" t="s">
        <v>408</v>
      </c>
      <c r="N318" s="187">
        <v>356.22188899999998</v>
      </c>
      <c r="O318" s="186">
        <f t="shared" si="14"/>
        <v>163.29923835538</v>
      </c>
      <c r="P318" s="186">
        <f t="shared" si="15"/>
        <v>50.646573182949957</v>
      </c>
      <c r="Q318" s="215">
        <f>IF(P318="-",0,P318/(1+'General inputs'!$H$30)^'MP Calculations'!$C$40)</f>
        <v>112.50067618109102</v>
      </c>
    </row>
    <row r="319" spans="3:17" x14ac:dyDescent="0.25">
      <c r="C319" s="159"/>
      <c r="D319" s="165" t="s">
        <v>313</v>
      </c>
      <c r="E319" s="162">
        <v>30682</v>
      </c>
      <c r="F319" s="166" t="str">
        <f t="shared" si="13"/>
        <v>Date check - OK</v>
      </c>
      <c r="G319" s="68"/>
      <c r="H319" s="162" t="s">
        <v>279</v>
      </c>
      <c r="I319" s="173">
        <v>89592.114709699614</v>
      </c>
      <c r="J319" s="168">
        <f>IFERROR(MIN('MP Calculations'!$E$30/I319,1),"-")</f>
        <v>0.31014580161562261</v>
      </c>
      <c r="K319" s="12"/>
      <c r="L319" s="159">
        <v>3.2644449999999998</v>
      </c>
      <c r="M319" s="187" t="s">
        <v>408</v>
      </c>
      <c r="N319" s="187">
        <v>219.07646199999999</v>
      </c>
      <c r="O319" s="186">
        <f t="shared" si="14"/>
        <v>715.16306099358997</v>
      </c>
      <c r="P319" s="186">
        <f t="shared" si="15"/>
        <v>221.80482083773936</v>
      </c>
      <c r="Q319" s="215">
        <f>IF(P319="-",0,P319/(1+'General inputs'!$H$30)^'MP Calculations'!$C$40)</f>
        <v>492.69260990932855</v>
      </c>
    </row>
    <row r="320" spans="3:17" x14ac:dyDescent="0.25">
      <c r="C320" s="159"/>
      <c r="D320" s="165" t="s">
        <v>313</v>
      </c>
      <c r="E320" s="162">
        <v>30682</v>
      </c>
      <c r="F320" s="166" t="str">
        <f t="shared" si="13"/>
        <v>Date check - OK</v>
      </c>
      <c r="G320" s="68"/>
      <c r="H320" s="162" t="s">
        <v>279</v>
      </c>
      <c r="I320" s="173">
        <v>89592.114709699614</v>
      </c>
      <c r="J320" s="168">
        <f>IFERROR(MIN('MP Calculations'!$E$30/I320,1),"-")</f>
        <v>0.31014580161562261</v>
      </c>
      <c r="K320" s="12"/>
      <c r="L320" s="159">
        <v>5.7210299999999998</v>
      </c>
      <c r="M320" s="187" t="s">
        <v>408</v>
      </c>
      <c r="N320" s="187">
        <v>219.07646199999999</v>
      </c>
      <c r="O320" s="186">
        <f t="shared" si="14"/>
        <v>1253.34301139586</v>
      </c>
      <c r="P320" s="186">
        <f t="shared" si="15"/>
        <v>388.71907296870739</v>
      </c>
      <c r="Q320" s="215">
        <f>IF(P320="-",0,P320/(1+'General inputs'!$H$30)^'MP Calculations'!$C$40)</f>
        <v>863.45740304081278</v>
      </c>
    </row>
    <row r="321" spans="3:17" x14ac:dyDescent="0.25">
      <c r="C321" s="159"/>
      <c r="D321" s="165" t="s">
        <v>313</v>
      </c>
      <c r="E321" s="162">
        <v>30682</v>
      </c>
      <c r="F321" s="166" t="str">
        <f t="shared" si="13"/>
        <v>Date check - OK</v>
      </c>
      <c r="G321" s="68"/>
      <c r="H321" s="162" t="s">
        <v>279</v>
      </c>
      <c r="I321" s="173">
        <v>89592.114709699614</v>
      </c>
      <c r="J321" s="168">
        <f>IFERROR(MIN('MP Calculations'!$E$30/I321,1),"-")</f>
        <v>0.31014580161562261</v>
      </c>
      <c r="K321" s="12"/>
      <c r="L321" s="159">
        <v>2.947943</v>
      </c>
      <c r="M321" s="187" t="s">
        <v>408</v>
      </c>
      <c r="N321" s="187">
        <v>219.07646199999999</v>
      </c>
      <c r="O321" s="186">
        <f t="shared" si="14"/>
        <v>645.82492261766595</v>
      </c>
      <c r="P321" s="186">
        <f t="shared" si="15"/>
        <v>200.29988832860346</v>
      </c>
      <c r="Q321" s="215">
        <f>IF(P321="-",0,P321/(1+'General inputs'!$H$30)^'MP Calculations'!$C$40)</f>
        <v>444.9239397612568</v>
      </c>
    </row>
    <row r="322" spans="3:17" x14ac:dyDescent="0.25">
      <c r="C322" s="159"/>
      <c r="D322" s="165" t="s">
        <v>313</v>
      </c>
      <c r="E322" s="162">
        <v>30682</v>
      </c>
      <c r="F322" s="166" t="str">
        <f t="shared" si="13"/>
        <v>Date check - OK</v>
      </c>
      <c r="G322" s="68"/>
      <c r="H322" s="162" t="s">
        <v>279</v>
      </c>
      <c r="I322" s="173">
        <v>89592.114709699614</v>
      </c>
      <c r="J322" s="168">
        <f>IFERROR(MIN('MP Calculations'!$E$30/I322,1),"-")</f>
        <v>0.31014580161562261</v>
      </c>
      <c r="K322" s="12"/>
      <c r="L322" s="159">
        <v>5.7218030000000004</v>
      </c>
      <c r="M322" s="187" t="s">
        <v>408</v>
      </c>
      <c r="N322" s="187">
        <v>219.07646199999999</v>
      </c>
      <c r="O322" s="186">
        <f t="shared" si="14"/>
        <v>1253.5123575009861</v>
      </c>
      <c r="P322" s="186">
        <f t="shared" si="15"/>
        <v>388.77159495223225</v>
      </c>
      <c r="Q322" s="215">
        <f>IF(P322="-",0,P322/(1+'General inputs'!$H$30)^'MP Calculations'!$C$40)</f>
        <v>863.57406954536725</v>
      </c>
    </row>
    <row r="323" spans="3:17" x14ac:dyDescent="0.25">
      <c r="C323" s="159"/>
      <c r="D323" s="165" t="s">
        <v>313</v>
      </c>
      <c r="E323" s="162">
        <v>30682</v>
      </c>
      <c r="F323" s="166" t="str">
        <f t="shared" si="13"/>
        <v>Date check - OK</v>
      </c>
      <c r="G323" s="68"/>
      <c r="H323" s="162" t="s">
        <v>279</v>
      </c>
      <c r="I323" s="173">
        <v>89592.114709699614</v>
      </c>
      <c r="J323" s="168">
        <f>IFERROR(MIN('MP Calculations'!$E$30/I323,1),"-")</f>
        <v>0.31014580161562261</v>
      </c>
      <c r="K323" s="12"/>
      <c r="L323" s="159">
        <v>0.82656399999999997</v>
      </c>
      <c r="M323" s="187" t="s">
        <v>408</v>
      </c>
      <c r="N323" s="187">
        <v>219.07646199999999</v>
      </c>
      <c r="O323" s="186">
        <f t="shared" si="14"/>
        <v>181.08071673656798</v>
      </c>
      <c r="P323" s="186">
        <f t="shared" si="15"/>
        <v>56.161424049394363</v>
      </c>
      <c r="Q323" s="215">
        <f>IF(P323="-",0,P323/(1+'General inputs'!$H$30)^'MP Calculations'!$C$40)</f>
        <v>124.75075377808302</v>
      </c>
    </row>
    <row r="324" spans="3:17" x14ac:dyDescent="0.25">
      <c r="C324" s="159"/>
      <c r="D324" s="165" t="s">
        <v>313</v>
      </c>
      <c r="E324" s="162">
        <v>30682</v>
      </c>
      <c r="F324" s="166" t="str">
        <f t="shared" si="13"/>
        <v>Date check - OK</v>
      </c>
      <c r="G324" s="68"/>
      <c r="H324" s="162" t="s">
        <v>279</v>
      </c>
      <c r="I324" s="173">
        <v>89592.114709699614</v>
      </c>
      <c r="J324" s="168">
        <f>IFERROR(MIN('MP Calculations'!$E$30/I324,1),"-")</f>
        <v>0.31014580161562261</v>
      </c>
      <c r="K324" s="12"/>
      <c r="L324" s="159">
        <v>0.88236199999999998</v>
      </c>
      <c r="M324" s="187" t="s">
        <v>408</v>
      </c>
      <c r="N324" s="187">
        <v>219.07646199999999</v>
      </c>
      <c r="O324" s="186">
        <f t="shared" si="14"/>
        <v>193.30474516324398</v>
      </c>
      <c r="P324" s="186">
        <f t="shared" si="15"/>
        <v>59.952655144757948</v>
      </c>
      <c r="Q324" s="215">
        <f>IF(P324="-",0,P324/(1+'General inputs'!$H$30)^'MP Calculations'!$C$40)</f>
        <v>133.17217372778984</v>
      </c>
    </row>
    <row r="325" spans="3:17" x14ac:dyDescent="0.25">
      <c r="C325" s="159"/>
      <c r="D325" s="165" t="s">
        <v>313</v>
      </c>
      <c r="E325" s="162">
        <v>30902</v>
      </c>
      <c r="F325" s="166" t="str">
        <f t="shared" si="13"/>
        <v>Date check - OK</v>
      </c>
      <c r="G325" s="68"/>
      <c r="H325" s="162" t="s">
        <v>279</v>
      </c>
      <c r="I325" s="173">
        <v>89592.114709699614</v>
      </c>
      <c r="J325" s="168">
        <f>IFERROR(MIN('MP Calculations'!$E$30/I325,1),"-")</f>
        <v>0.31014580161562261</v>
      </c>
      <c r="K325" s="12"/>
      <c r="L325" s="159">
        <v>248.60959199999999</v>
      </c>
      <c r="M325" s="187" t="s">
        <v>408</v>
      </c>
      <c r="N325" s="187">
        <v>219.07646199999999</v>
      </c>
      <c r="O325" s="186">
        <f t="shared" si="14"/>
        <v>54464.509834623503</v>
      </c>
      <c r="P325" s="186">
        <f t="shared" si="15"/>
        <v>16891.939062261266</v>
      </c>
      <c r="Q325" s="215">
        <f>IF(P325="-",0,P325/(1+'General inputs'!$H$30)^'MP Calculations'!$C$40)</f>
        <v>37521.878521761995</v>
      </c>
    </row>
    <row r="326" spans="3:17" x14ac:dyDescent="0.25">
      <c r="C326" s="159"/>
      <c r="D326" s="165" t="s">
        <v>286</v>
      </c>
      <c r="E326" s="162">
        <v>30902</v>
      </c>
      <c r="F326" s="166" t="str">
        <f t="shared" si="13"/>
        <v>Date check - OK</v>
      </c>
      <c r="G326" s="68"/>
      <c r="H326" s="162" t="s">
        <v>279</v>
      </c>
      <c r="I326" s="173">
        <v>89592.114709699614</v>
      </c>
      <c r="J326" s="168">
        <f>IFERROR(MIN('MP Calculations'!$E$30/I326,1),"-")</f>
        <v>0.31014580161562261</v>
      </c>
      <c r="K326" s="12"/>
      <c r="L326" s="159">
        <v>0.560832</v>
      </c>
      <c r="M326" s="187" t="s">
        <v>408</v>
      </c>
      <c r="N326" s="187">
        <v>178.11094499999999</v>
      </c>
      <c r="O326" s="186">
        <f t="shared" si="14"/>
        <v>99.890317506239995</v>
      </c>
      <c r="P326" s="186">
        <f t="shared" si="15"/>
        <v>30.980562596611865</v>
      </c>
      <c r="Q326" s="215">
        <f>IF(P326="-",0,P326/(1+'General inputs'!$H$30)^'MP Calculations'!$C$40)</f>
        <v>68.816783082231922</v>
      </c>
    </row>
    <row r="327" spans="3:17" x14ac:dyDescent="0.25">
      <c r="C327" s="159"/>
      <c r="D327" s="165" t="s">
        <v>286</v>
      </c>
      <c r="E327" s="162">
        <v>30902</v>
      </c>
      <c r="F327" s="166" t="str">
        <f t="shared" si="13"/>
        <v>Date check - OK</v>
      </c>
      <c r="G327" s="68"/>
      <c r="H327" s="162" t="s">
        <v>279</v>
      </c>
      <c r="I327" s="173">
        <v>89592.114709699614</v>
      </c>
      <c r="J327" s="168">
        <f>IFERROR(MIN('MP Calculations'!$E$30/I327,1),"-")</f>
        <v>0.31014580161562261</v>
      </c>
      <c r="K327" s="12"/>
      <c r="L327" s="159">
        <v>0.74339</v>
      </c>
      <c r="M327" s="187" t="s">
        <v>408</v>
      </c>
      <c r="N327" s="187">
        <v>178.11094499999999</v>
      </c>
      <c r="O327" s="186">
        <f t="shared" si="14"/>
        <v>132.40589540354998</v>
      </c>
      <c r="P327" s="186">
        <f t="shared" si="15"/>
        <v>41.065132568568288</v>
      </c>
      <c r="Q327" s="215">
        <f>IF(P327="-",0,P327/(1+'General inputs'!$H$30)^'MP Calculations'!$C$40)</f>
        <v>91.217527486841661</v>
      </c>
    </row>
    <row r="328" spans="3:17" x14ac:dyDescent="0.25">
      <c r="C328" s="159"/>
      <c r="D328" s="165" t="s">
        <v>286</v>
      </c>
      <c r="E328" s="162">
        <v>30902</v>
      </c>
      <c r="F328" s="166" t="str">
        <f t="shared" si="13"/>
        <v>Date check - OK</v>
      </c>
      <c r="G328" s="68"/>
      <c r="H328" s="162" t="s">
        <v>279</v>
      </c>
      <c r="I328" s="173">
        <v>89592.114709699614</v>
      </c>
      <c r="J328" s="168">
        <f>IFERROR(MIN('MP Calculations'!$E$30/I328,1),"-")</f>
        <v>0.31014580161562261</v>
      </c>
      <c r="K328" s="12"/>
      <c r="L328" s="159">
        <v>2.8932470000000001</v>
      </c>
      <c r="M328" s="187" t="s">
        <v>408</v>
      </c>
      <c r="N328" s="187">
        <v>178.11094499999999</v>
      </c>
      <c r="O328" s="186">
        <f t="shared" si="14"/>
        <v>515.31895728841494</v>
      </c>
      <c r="P328" s="186">
        <f t="shared" si="15"/>
        <v>159.82401109594224</v>
      </c>
      <c r="Q328" s="215">
        <f>IF(P328="-",0,P328/(1+'General inputs'!$H$30)^'MP Calculations'!$C$40)</f>
        <v>355.01531867353907</v>
      </c>
    </row>
    <row r="329" spans="3:17" x14ac:dyDescent="0.25">
      <c r="C329" s="159"/>
      <c r="D329" s="165" t="s">
        <v>286</v>
      </c>
      <c r="E329" s="162">
        <v>30902</v>
      </c>
      <c r="F329" s="166" t="str">
        <f t="shared" si="13"/>
        <v>Date check - OK</v>
      </c>
      <c r="G329" s="68"/>
      <c r="H329" s="162" t="s">
        <v>279</v>
      </c>
      <c r="I329" s="173">
        <v>89592.114709699614</v>
      </c>
      <c r="J329" s="168">
        <f>IFERROR(MIN('MP Calculations'!$E$30/I329,1),"-")</f>
        <v>0.31014580161562261</v>
      </c>
      <c r="K329" s="12"/>
      <c r="L329" s="159">
        <v>2.8930889999999998</v>
      </c>
      <c r="M329" s="187" t="s">
        <v>408</v>
      </c>
      <c r="N329" s="187">
        <v>178.11094499999999</v>
      </c>
      <c r="O329" s="186">
        <f t="shared" si="14"/>
        <v>515.29081575910493</v>
      </c>
      <c r="P329" s="186">
        <f t="shared" si="15"/>
        <v>159.81528311877571</v>
      </c>
      <c r="Q329" s="215">
        <f>IF(P329="-",0,P329/(1+'General inputs'!$H$30)^'MP Calculations'!$C$40)</f>
        <v>354.99593131381818</v>
      </c>
    </row>
    <row r="330" spans="3:17" x14ac:dyDescent="0.25">
      <c r="C330" s="159"/>
      <c r="D330" s="165" t="s">
        <v>286</v>
      </c>
      <c r="E330" s="162">
        <v>30902</v>
      </c>
      <c r="F330" s="166" t="str">
        <f t="shared" si="13"/>
        <v>Date check - OK</v>
      </c>
      <c r="G330" s="68"/>
      <c r="H330" s="162" t="s">
        <v>279</v>
      </c>
      <c r="I330" s="173">
        <v>89592.114709699614</v>
      </c>
      <c r="J330" s="168">
        <f>IFERROR(MIN('MP Calculations'!$E$30/I330,1),"-")</f>
        <v>0.31014580161562261</v>
      </c>
      <c r="K330" s="12"/>
      <c r="L330" s="159">
        <v>0.48836000000000002</v>
      </c>
      <c r="M330" s="187" t="s">
        <v>408</v>
      </c>
      <c r="N330" s="187">
        <v>178.11094499999999</v>
      </c>
      <c r="O330" s="186">
        <f t="shared" si="14"/>
        <v>86.982261100199992</v>
      </c>
      <c r="P330" s="186">
        <f t="shared" si="15"/>
        <v>26.977183095260916</v>
      </c>
      <c r="Q330" s="215">
        <f>IF(P330="-",0,P330/(1+'General inputs'!$H$30)^'MP Calculations'!$C$40)</f>
        <v>59.924120210756129</v>
      </c>
    </row>
    <row r="331" spans="3:17" x14ac:dyDescent="0.25">
      <c r="C331" s="159"/>
      <c r="D331" s="165" t="s">
        <v>286</v>
      </c>
      <c r="E331" s="162">
        <v>30902</v>
      </c>
      <c r="F331" s="166" t="str">
        <f t="shared" si="13"/>
        <v>Date check - OK</v>
      </c>
      <c r="G331" s="68"/>
      <c r="H331" s="162" t="s">
        <v>279</v>
      </c>
      <c r="I331" s="173">
        <v>89592.114709699614</v>
      </c>
      <c r="J331" s="168">
        <f>IFERROR(MIN('MP Calculations'!$E$30/I331,1),"-")</f>
        <v>0.31014580161562261</v>
      </c>
      <c r="K331" s="12"/>
      <c r="L331" s="159">
        <v>0.49371199999999998</v>
      </c>
      <c r="M331" s="187" t="s">
        <v>408</v>
      </c>
      <c r="N331" s="187">
        <v>178.11094499999999</v>
      </c>
      <c r="O331" s="186">
        <f t="shared" si="14"/>
        <v>87.935510877839988</v>
      </c>
      <c r="P331" s="186">
        <f t="shared" si="15"/>
        <v>27.272829511686986</v>
      </c>
      <c r="Q331" s="215">
        <f>IF(P331="-",0,P331/(1+'General inputs'!$H$30)^'MP Calculations'!$C$40)</f>
        <v>60.580836345099577</v>
      </c>
    </row>
    <row r="332" spans="3:17" x14ac:dyDescent="0.25">
      <c r="C332" s="159"/>
      <c r="D332" s="165" t="s">
        <v>295</v>
      </c>
      <c r="E332" s="162">
        <v>30949</v>
      </c>
      <c r="F332" s="166" t="str">
        <f t="shared" si="13"/>
        <v>Date check - OK</v>
      </c>
      <c r="G332" s="68"/>
      <c r="H332" s="162" t="s">
        <v>279</v>
      </c>
      <c r="I332" s="173">
        <v>89592.114709699614</v>
      </c>
      <c r="J332" s="168">
        <f>IFERROR(MIN('MP Calculations'!$E$30/I332,1),"-")</f>
        <v>0.31014580161562261</v>
      </c>
      <c r="K332" s="12"/>
      <c r="L332" s="159">
        <v>1.7047639999999999</v>
      </c>
      <c r="M332" s="187" t="s">
        <v>408</v>
      </c>
      <c r="N332" s="187">
        <v>137.14542700000001</v>
      </c>
      <c r="O332" s="186">
        <f t="shared" si="14"/>
        <v>233.80058671422802</v>
      </c>
      <c r="P332" s="186">
        <f t="shared" si="15"/>
        <v>72.512270384687127</v>
      </c>
      <c r="Q332" s="215">
        <f>IF(P332="-",0,P332/(1+'General inputs'!$H$30)^'MP Calculations'!$C$40)</f>
        <v>161.07070897443592</v>
      </c>
    </row>
    <row r="333" spans="3:17" x14ac:dyDescent="0.25">
      <c r="C333" s="159"/>
      <c r="D333" s="165" t="s">
        <v>295</v>
      </c>
      <c r="E333" s="162">
        <v>30949</v>
      </c>
      <c r="F333" s="166" t="str">
        <f t="shared" si="13"/>
        <v>Date check - OK</v>
      </c>
      <c r="G333" s="68"/>
      <c r="H333" s="162" t="s">
        <v>279</v>
      </c>
      <c r="I333" s="173">
        <v>89592.114709699614</v>
      </c>
      <c r="J333" s="168">
        <f>IFERROR(MIN('MP Calculations'!$E$30/I333,1),"-")</f>
        <v>0.31014580161562261</v>
      </c>
      <c r="K333" s="12"/>
      <c r="L333" s="159">
        <v>6.6513239999999998</v>
      </c>
      <c r="M333" s="187" t="s">
        <v>408</v>
      </c>
      <c r="N333" s="187">
        <v>137.14542700000001</v>
      </c>
      <c r="O333" s="186">
        <f t="shared" si="14"/>
        <v>912.19867009534801</v>
      </c>
      <c r="P333" s="186">
        <f t="shared" si="15"/>
        <v>282.91458776942659</v>
      </c>
      <c r="Q333" s="215">
        <f>IF(P333="-",0,P333/(1+'General inputs'!$H$30)^'MP Calculations'!$C$40)</f>
        <v>628.43506332764002</v>
      </c>
    </row>
    <row r="334" spans="3:17" x14ac:dyDescent="0.25">
      <c r="C334" s="159"/>
      <c r="D334" s="165" t="s">
        <v>295</v>
      </c>
      <c r="E334" s="162">
        <v>30949</v>
      </c>
      <c r="F334" s="166" t="str">
        <f t="shared" si="13"/>
        <v>Date check - OK</v>
      </c>
      <c r="G334" s="68"/>
      <c r="H334" s="162" t="s">
        <v>279</v>
      </c>
      <c r="I334" s="173">
        <v>89592.114709699614</v>
      </c>
      <c r="J334" s="168">
        <f>IFERROR(MIN('MP Calculations'!$E$30/I334,1),"-")</f>
        <v>0.31014580161562261</v>
      </c>
      <c r="K334" s="12"/>
      <c r="L334" s="159">
        <v>0.58229299999999995</v>
      </c>
      <c r="M334" s="187" t="s">
        <v>408</v>
      </c>
      <c r="N334" s="187">
        <v>137.14542700000001</v>
      </c>
      <c r="O334" s="186">
        <f t="shared" si="14"/>
        <v>79.858822124111001</v>
      </c>
      <c r="P334" s="186">
        <f t="shared" si="15"/>
        <v>24.767878403761824</v>
      </c>
      <c r="Q334" s="215">
        <f>IF(P334="-",0,P334/(1+'General inputs'!$H$30)^'MP Calculations'!$C$40)</f>
        <v>55.016615989574632</v>
      </c>
    </row>
    <row r="335" spans="3:17" x14ac:dyDescent="0.25">
      <c r="C335" s="159"/>
      <c r="D335" s="165" t="s">
        <v>295</v>
      </c>
      <c r="E335" s="162">
        <v>30950</v>
      </c>
      <c r="F335" s="166" t="str">
        <f t="shared" si="13"/>
        <v>Date check - OK</v>
      </c>
      <c r="G335" s="68"/>
      <c r="H335" s="162" t="s">
        <v>279</v>
      </c>
      <c r="I335" s="173">
        <v>89592.114709699614</v>
      </c>
      <c r="J335" s="168">
        <f>IFERROR(MIN('MP Calculations'!$E$30/I335,1),"-")</f>
        <v>0.31014580161562261</v>
      </c>
      <c r="K335" s="12"/>
      <c r="L335" s="159">
        <v>147.748673</v>
      </c>
      <c r="M335" s="187" t="s">
        <v>408</v>
      </c>
      <c r="N335" s="187">
        <v>137.14542700000001</v>
      </c>
      <c r="O335" s="186">
        <f t="shared" si="14"/>
        <v>20263.054847268373</v>
      </c>
      <c r="P335" s="186">
        <f t="shared" si="15"/>
        <v>6284.5013887873765</v>
      </c>
      <c r="Q335" s="215">
        <f>IF(P335="-",0,P335/(1+'General inputs'!$H$30)^'MP Calculations'!$C$40)</f>
        <v>13959.693840403774</v>
      </c>
    </row>
    <row r="336" spans="3:17" x14ac:dyDescent="0.25">
      <c r="C336" s="159"/>
      <c r="D336" s="165" t="s">
        <v>295</v>
      </c>
      <c r="E336" s="162">
        <v>30950</v>
      </c>
      <c r="F336" s="166" t="str">
        <f t="shared" si="13"/>
        <v>Date check - OK</v>
      </c>
      <c r="G336" s="68"/>
      <c r="H336" s="162" t="s">
        <v>279</v>
      </c>
      <c r="I336" s="173">
        <v>89592.114709699614</v>
      </c>
      <c r="J336" s="168">
        <f>IFERROR(MIN('MP Calculations'!$E$30/I336,1),"-")</f>
        <v>0.31014580161562261</v>
      </c>
      <c r="K336" s="12"/>
      <c r="L336" s="159">
        <v>6.3771810000000002</v>
      </c>
      <c r="M336" s="187" t="s">
        <v>408</v>
      </c>
      <c r="N336" s="187">
        <v>137.14542700000001</v>
      </c>
      <c r="O336" s="186">
        <f t="shared" si="14"/>
        <v>874.60121130128709</v>
      </c>
      <c r="P336" s="186">
        <f t="shared" si="15"/>
        <v>271.25389377303219</v>
      </c>
      <c r="Q336" s="215">
        <f>IF(P336="-",0,P336/(1+'General inputs'!$H$30)^'MP Calculations'!$C$40)</f>
        <v>602.53329195613128</v>
      </c>
    </row>
    <row r="337" spans="3:17" x14ac:dyDescent="0.25">
      <c r="C337" s="159"/>
      <c r="D337" s="165" t="s">
        <v>295</v>
      </c>
      <c r="E337" s="162">
        <v>30950</v>
      </c>
      <c r="F337" s="166" t="str">
        <f t="shared" si="13"/>
        <v>Date check - OK</v>
      </c>
      <c r="G337" s="68"/>
      <c r="H337" s="162" t="s">
        <v>279</v>
      </c>
      <c r="I337" s="173">
        <v>89592.114709699614</v>
      </c>
      <c r="J337" s="168">
        <f>IFERROR(MIN('MP Calculations'!$E$30/I337,1),"-")</f>
        <v>0.31014580161562261</v>
      </c>
      <c r="K337" s="12"/>
      <c r="L337" s="159">
        <v>1.8810819999999999</v>
      </c>
      <c r="M337" s="187" t="s">
        <v>408</v>
      </c>
      <c r="N337" s="187">
        <v>137.14542700000001</v>
      </c>
      <c r="O337" s="186">
        <f t="shared" si="14"/>
        <v>257.98179411201403</v>
      </c>
      <c r="P337" s="186">
        <f t="shared" si="15"/>
        <v>80.011970337107101</v>
      </c>
      <c r="Q337" s="215">
        <f>IF(P337="-",0,P337/(1+'General inputs'!$H$30)^'MP Calculations'!$C$40)</f>
        <v>177.72971002382141</v>
      </c>
    </row>
    <row r="338" spans="3:17" x14ac:dyDescent="0.25">
      <c r="C338" s="159"/>
      <c r="D338" s="165" t="s">
        <v>295</v>
      </c>
      <c r="E338" s="162">
        <v>30950</v>
      </c>
      <c r="F338" s="166" t="str">
        <f t="shared" si="13"/>
        <v>Date check - OK</v>
      </c>
      <c r="G338" s="68"/>
      <c r="H338" s="162" t="s">
        <v>279</v>
      </c>
      <c r="I338" s="173">
        <v>89592.114709699614</v>
      </c>
      <c r="J338" s="168">
        <f>IFERROR(MIN('MP Calculations'!$E$30/I338,1),"-")</f>
        <v>0.31014580161562261</v>
      </c>
      <c r="K338" s="12"/>
      <c r="L338" s="159">
        <v>0.66662699999999997</v>
      </c>
      <c r="M338" s="187" t="s">
        <v>408</v>
      </c>
      <c r="N338" s="187">
        <v>137.14542700000001</v>
      </c>
      <c r="O338" s="186">
        <f t="shared" si="14"/>
        <v>91.424844564729</v>
      </c>
      <c r="P338" s="186">
        <f t="shared" si="15"/>
        <v>28.355031705111575</v>
      </c>
      <c r="Q338" s="215">
        <f>IF(P338="-",0,P338/(1+'General inputs'!$H$30)^'MP Calculations'!$C$40)</f>
        <v>62.98472017915752</v>
      </c>
    </row>
    <row r="339" spans="3:17" x14ac:dyDescent="0.25">
      <c r="C339" s="159"/>
      <c r="D339" s="165" t="s">
        <v>288</v>
      </c>
      <c r="E339" s="162">
        <v>31012</v>
      </c>
      <c r="F339" s="166" t="str">
        <f t="shared" si="13"/>
        <v>Date check - OK</v>
      </c>
      <c r="G339" s="68"/>
      <c r="H339" s="162" t="s">
        <v>279</v>
      </c>
      <c r="I339" s="173">
        <v>89592.114709699614</v>
      </c>
      <c r="J339" s="168">
        <f>IFERROR(MIN('MP Calculations'!$E$30/I339,1),"-")</f>
        <v>0.31014580161562261</v>
      </c>
      <c r="K339" s="12"/>
      <c r="L339" s="159">
        <v>2.2159710000000001</v>
      </c>
      <c r="M339" s="187" t="s">
        <v>408</v>
      </c>
      <c r="N339" s="187">
        <v>480.89954999999998</v>
      </c>
      <c r="O339" s="186">
        <f t="shared" si="14"/>
        <v>1065.6594567130501</v>
      </c>
      <c r="P339" s="186">
        <f t="shared" si="15"/>
        <v>330.50980645153777</v>
      </c>
      <c r="Q339" s="215">
        <f>IF(P339="-",0,P339/(1+'General inputs'!$H$30)^'MP Calculations'!$C$40)</f>
        <v>734.15779930392091</v>
      </c>
    </row>
    <row r="340" spans="3:17" x14ac:dyDescent="0.25">
      <c r="C340" s="159"/>
      <c r="D340" s="165" t="s">
        <v>288</v>
      </c>
      <c r="E340" s="162">
        <v>31012</v>
      </c>
      <c r="F340" s="166" t="str">
        <f t="shared" si="13"/>
        <v>Date check - OK</v>
      </c>
      <c r="G340" s="68"/>
      <c r="H340" s="162" t="s">
        <v>279</v>
      </c>
      <c r="I340" s="173">
        <v>89592.114709699614</v>
      </c>
      <c r="J340" s="168">
        <f>IFERROR(MIN('MP Calculations'!$E$30/I340,1),"-")</f>
        <v>0.31014580161562261</v>
      </c>
      <c r="K340" s="12"/>
      <c r="L340" s="159">
        <v>4.1434280000000001</v>
      </c>
      <c r="M340" s="187" t="s">
        <v>408</v>
      </c>
      <c r="N340" s="187">
        <v>480.89954999999998</v>
      </c>
      <c r="O340" s="186">
        <f t="shared" si="14"/>
        <v>1992.5726606573999</v>
      </c>
      <c r="P340" s="186">
        <f t="shared" si="15"/>
        <v>617.98804511696324</v>
      </c>
      <c r="Q340" s="215">
        <f>IF(P340="-",0,P340/(1+'General inputs'!$H$30)^'MP Calculations'!$C$40)</f>
        <v>1372.7300501921036</v>
      </c>
    </row>
    <row r="341" spans="3:17" x14ac:dyDescent="0.25">
      <c r="C341" s="159"/>
      <c r="D341" s="165" t="s">
        <v>288</v>
      </c>
      <c r="E341" s="162">
        <v>31012</v>
      </c>
      <c r="F341" s="166" t="str">
        <f t="shared" si="13"/>
        <v>Date check - OK</v>
      </c>
      <c r="G341" s="68"/>
      <c r="H341" s="162" t="s">
        <v>279</v>
      </c>
      <c r="I341" s="173">
        <v>89592.114709699614</v>
      </c>
      <c r="J341" s="168">
        <f>IFERROR(MIN('MP Calculations'!$E$30/I341,1),"-")</f>
        <v>0.31014580161562261</v>
      </c>
      <c r="K341" s="12"/>
      <c r="L341" s="159">
        <v>3.8673679999999999</v>
      </c>
      <c r="M341" s="187" t="s">
        <v>408</v>
      </c>
      <c r="N341" s="187">
        <v>480.89954999999998</v>
      </c>
      <c r="O341" s="186">
        <f t="shared" si="14"/>
        <v>1859.8155308843998</v>
      </c>
      <c r="P341" s="186">
        <f t="shared" si="15"/>
        <v>576.81397868332692</v>
      </c>
      <c r="Q341" s="215">
        <f>IF(P341="-",0,P341/(1+'General inputs'!$H$30)^'MP Calculations'!$C$40)</f>
        <v>1281.2705491084521</v>
      </c>
    </row>
    <row r="342" spans="3:17" x14ac:dyDescent="0.25">
      <c r="C342" s="159"/>
      <c r="D342" s="165" t="s">
        <v>288</v>
      </c>
      <c r="E342" s="162">
        <v>31012</v>
      </c>
      <c r="F342" s="166" t="str">
        <f t="shared" si="13"/>
        <v>Date check - OK</v>
      </c>
      <c r="G342" s="68"/>
      <c r="H342" s="162" t="s">
        <v>279</v>
      </c>
      <c r="I342" s="173">
        <v>89592.114709699614</v>
      </c>
      <c r="J342" s="168">
        <f>IFERROR(MIN('MP Calculations'!$E$30/I342,1),"-")</f>
        <v>0.31014580161562261</v>
      </c>
      <c r="K342" s="12"/>
      <c r="L342" s="159">
        <v>2.1732480000000001</v>
      </c>
      <c r="M342" s="187" t="s">
        <v>408</v>
      </c>
      <c r="N342" s="187">
        <v>480.89954999999998</v>
      </c>
      <c r="O342" s="186">
        <f t="shared" si="14"/>
        <v>1045.1139852383999</v>
      </c>
      <c r="P342" s="186">
        <f t="shared" si="15"/>
        <v>324.13771473146153</v>
      </c>
      <c r="Q342" s="215">
        <f>IF(P342="-",0,P342/(1+'General inputs'!$H$30)^'MP Calculations'!$C$40)</f>
        <v>720.00354202363098</v>
      </c>
    </row>
    <row r="343" spans="3:17" x14ac:dyDescent="0.25">
      <c r="C343" s="159"/>
      <c r="D343" s="165" t="s">
        <v>295</v>
      </c>
      <c r="E343" s="162">
        <v>31012</v>
      </c>
      <c r="F343" s="166" t="str">
        <f t="shared" ref="F343:F406" si="16">IF(E343="","-",IF(OR(E343&lt;$E$15,E343&gt;$E$16),"ERROR - date outside of range","Date check - OK"))</f>
        <v>Date check - OK</v>
      </c>
      <c r="G343" s="68"/>
      <c r="H343" s="162" t="s">
        <v>279</v>
      </c>
      <c r="I343" s="173">
        <v>89592.114709699614</v>
      </c>
      <c r="J343" s="168">
        <f>IFERROR(MIN('MP Calculations'!$E$30/I343,1),"-")</f>
        <v>0.31014580161562261</v>
      </c>
      <c r="K343" s="12"/>
      <c r="L343" s="159">
        <v>2.1147610000000001</v>
      </c>
      <c r="M343" s="187" t="s">
        <v>408</v>
      </c>
      <c r="N343" s="187">
        <v>137.14542700000001</v>
      </c>
      <c r="O343" s="186">
        <f t="shared" ref="O343:O406" si="17">IF(N343="","-",L343*N343)</f>
        <v>290.02980034794706</v>
      </c>
      <c r="P343" s="186">
        <f t="shared" ref="P343:P406" si="18">IF(O343="-","-",IF(OR(E343&lt;$E$15,E343&gt;$E$16),0,O343*J343))</f>
        <v>89.951524921333018</v>
      </c>
      <c r="Q343" s="215">
        <f>IF(P343="-",0,P343/(1+'General inputs'!$H$30)^'MP Calculations'!$C$40)</f>
        <v>199.80833334202688</v>
      </c>
    </row>
    <row r="344" spans="3:17" x14ac:dyDescent="0.25">
      <c r="C344" s="159"/>
      <c r="D344" s="165" t="s">
        <v>295</v>
      </c>
      <c r="E344" s="162">
        <v>31012</v>
      </c>
      <c r="F344" s="166" t="str">
        <f t="shared" si="16"/>
        <v>Date check - OK</v>
      </c>
      <c r="G344" s="68"/>
      <c r="H344" s="162" t="s">
        <v>279</v>
      </c>
      <c r="I344" s="173">
        <v>89592.114709699614</v>
      </c>
      <c r="J344" s="168">
        <f>IFERROR(MIN('MP Calculations'!$E$30/I344,1),"-")</f>
        <v>0.31014580161562261</v>
      </c>
      <c r="K344" s="12"/>
      <c r="L344" s="159">
        <v>6.5499530000000004</v>
      </c>
      <c r="M344" s="187" t="s">
        <v>408</v>
      </c>
      <c r="N344" s="187">
        <v>137.14542700000001</v>
      </c>
      <c r="O344" s="186">
        <f t="shared" si="17"/>
        <v>898.29610101493108</v>
      </c>
      <c r="P344" s="186">
        <f t="shared" si="18"/>
        <v>278.60276433746412</v>
      </c>
      <c r="Q344" s="215">
        <f>IF(P344="-",0,P344/(1+'General inputs'!$H$30)^'MP Calculations'!$C$40)</f>
        <v>618.85725734426205</v>
      </c>
    </row>
    <row r="345" spans="3:17" x14ac:dyDescent="0.25">
      <c r="C345" s="159"/>
      <c r="D345" s="165" t="s">
        <v>295</v>
      </c>
      <c r="E345" s="162">
        <v>31012</v>
      </c>
      <c r="F345" s="166" t="str">
        <f t="shared" si="16"/>
        <v>Date check - OK</v>
      </c>
      <c r="G345" s="68"/>
      <c r="H345" s="162" t="s">
        <v>279</v>
      </c>
      <c r="I345" s="173">
        <v>89592.114709699614</v>
      </c>
      <c r="J345" s="168">
        <f>IFERROR(MIN('MP Calculations'!$E$30/I345,1),"-")</f>
        <v>0.31014580161562261</v>
      </c>
      <c r="K345" s="12"/>
      <c r="L345" s="159">
        <v>482.74311999999998</v>
      </c>
      <c r="M345" s="187" t="s">
        <v>408</v>
      </c>
      <c r="N345" s="187">
        <v>137.14542700000001</v>
      </c>
      <c r="O345" s="186">
        <f t="shared" si="17"/>
        <v>66206.011323712242</v>
      </c>
      <c r="P345" s="186">
        <f t="shared" si="18"/>
        <v>20533.516453765722</v>
      </c>
      <c r="Q345" s="215">
        <f>IF(P345="-",0,P345/(1+'General inputs'!$H$30)^'MP Calculations'!$C$40)</f>
        <v>45610.874344443684</v>
      </c>
    </row>
    <row r="346" spans="3:17" x14ac:dyDescent="0.25">
      <c r="C346" s="159"/>
      <c r="D346" s="165" t="s">
        <v>295</v>
      </c>
      <c r="E346" s="162">
        <v>31012</v>
      </c>
      <c r="F346" s="166" t="str">
        <f t="shared" si="16"/>
        <v>Date check - OK</v>
      </c>
      <c r="G346" s="68"/>
      <c r="H346" s="162" t="s">
        <v>279</v>
      </c>
      <c r="I346" s="173">
        <v>89592.114709699614</v>
      </c>
      <c r="J346" s="168">
        <f>IFERROR(MIN('MP Calculations'!$E$30/I346,1),"-")</f>
        <v>0.31014580161562261</v>
      </c>
      <c r="K346" s="12"/>
      <c r="L346" s="159">
        <v>4.0036940000000003</v>
      </c>
      <c r="M346" s="187" t="s">
        <v>408</v>
      </c>
      <c r="N346" s="187">
        <v>137.14542700000001</v>
      </c>
      <c r="O346" s="186">
        <f t="shared" si="17"/>
        <v>549.08832320733814</v>
      </c>
      <c r="P346" s="186">
        <f t="shared" si="18"/>
        <v>170.29743815891797</v>
      </c>
      <c r="Q346" s="215">
        <f>IF(P346="-",0,P346/(1+'General inputs'!$H$30)^'MP Calculations'!$C$40)</f>
        <v>378.27982705916799</v>
      </c>
    </row>
    <row r="347" spans="3:17" x14ac:dyDescent="0.25">
      <c r="C347" s="159"/>
      <c r="D347" s="165" t="s">
        <v>286</v>
      </c>
      <c r="E347" s="162">
        <v>31012</v>
      </c>
      <c r="F347" s="166" t="str">
        <f t="shared" si="16"/>
        <v>Date check - OK</v>
      </c>
      <c r="G347" s="68"/>
      <c r="H347" s="162" t="s">
        <v>279</v>
      </c>
      <c r="I347" s="173">
        <v>89592.114709699614</v>
      </c>
      <c r="J347" s="168">
        <f>IFERROR(MIN('MP Calculations'!$E$30/I347,1),"-")</f>
        <v>0.31014580161562261</v>
      </c>
      <c r="K347" s="12"/>
      <c r="L347" s="159">
        <v>3.639589</v>
      </c>
      <c r="M347" s="187" t="s">
        <v>408</v>
      </c>
      <c r="N347" s="187">
        <v>178.11094499999999</v>
      </c>
      <c r="O347" s="186">
        <f t="shared" si="17"/>
        <v>648.25063620160495</v>
      </c>
      <c r="P347" s="186">
        <f t="shared" si="18"/>
        <v>201.05221321258412</v>
      </c>
      <c r="Q347" s="215">
        <f>IF(P347="-",0,P347/(1+'General inputs'!$H$30)^'MP Calculations'!$C$40)</f>
        <v>446.59507075465984</v>
      </c>
    </row>
    <row r="348" spans="3:17" x14ac:dyDescent="0.25">
      <c r="C348" s="159"/>
      <c r="D348" s="165" t="s">
        <v>295</v>
      </c>
      <c r="E348" s="162">
        <v>31012</v>
      </c>
      <c r="F348" s="166" t="str">
        <f t="shared" si="16"/>
        <v>Date check - OK</v>
      </c>
      <c r="G348" s="68"/>
      <c r="H348" s="162" t="s">
        <v>279</v>
      </c>
      <c r="I348" s="173">
        <v>89592.114709699614</v>
      </c>
      <c r="J348" s="168">
        <f>IFERROR(MIN('MP Calculations'!$E$30/I348,1),"-")</f>
        <v>0.31014580161562261</v>
      </c>
      <c r="K348" s="12"/>
      <c r="L348" s="159">
        <v>0.78107899999999997</v>
      </c>
      <c r="M348" s="187" t="s">
        <v>408</v>
      </c>
      <c r="N348" s="187">
        <v>137.14542700000001</v>
      </c>
      <c r="O348" s="186">
        <f t="shared" si="17"/>
        <v>107.12141297573301</v>
      </c>
      <c r="P348" s="186">
        <f t="shared" si="18"/>
        <v>33.223256497556868</v>
      </c>
      <c r="Q348" s="215">
        <f>IF(P348="-",0,P348/(1+'General inputs'!$H$30)^'MP Calculations'!$C$40)</f>
        <v>73.798454387260307</v>
      </c>
    </row>
    <row r="349" spans="3:17" x14ac:dyDescent="0.25">
      <c r="C349" s="159"/>
      <c r="D349" s="165" t="s">
        <v>295</v>
      </c>
      <c r="E349" s="162">
        <v>31012</v>
      </c>
      <c r="F349" s="166" t="str">
        <f t="shared" si="16"/>
        <v>Date check - OK</v>
      </c>
      <c r="G349" s="68"/>
      <c r="H349" s="162" t="s">
        <v>279</v>
      </c>
      <c r="I349" s="173">
        <v>89592.114709699614</v>
      </c>
      <c r="J349" s="168">
        <f>IFERROR(MIN('MP Calculations'!$E$30/I349,1),"-")</f>
        <v>0.31014580161562261</v>
      </c>
      <c r="K349" s="12"/>
      <c r="L349" s="159">
        <v>1.276289</v>
      </c>
      <c r="M349" s="187" t="s">
        <v>408</v>
      </c>
      <c r="N349" s="187">
        <v>137.14542700000001</v>
      </c>
      <c r="O349" s="186">
        <f t="shared" si="17"/>
        <v>175.03719988040302</v>
      </c>
      <c r="P349" s="186">
        <f t="shared" si="18"/>
        <v>54.287052669461559</v>
      </c>
      <c r="Q349" s="215">
        <f>IF(P349="-",0,P349/(1+'General inputs'!$H$30)^'MP Calculations'!$C$40)</f>
        <v>120.58723323948293</v>
      </c>
    </row>
    <row r="350" spans="3:17" x14ac:dyDescent="0.25">
      <c r="C350" s="159"/>
      <c r="D350" s="165" t="s">
        <v>286</v>
      </c>
      <c r="E350" s="162">
        <v>31012</v>
      </c>
      <c r="F350" s="166" t="str">
        <f t="shared" si="16"/>
        <v>Date check - OK</v>
      </c>
      <c r="G350" s="68"/>
      <c r="H350" s="162" t="s">
        <v>279</v>
      </c>
      <c r="I350" s="173">
        <v>89592.114709699614</v>
      </c>
      <c r="J350" s="168">
        <f>IFERROR(MIN('MP Calculations'!$E$30/I350,1),"-")</f>
        <v>0.31014580161562261</v>
      </c>
      <c r="K350" s="12"/>
      <c r="L350" s="159">
        <v>3.6074639999999998</v>
      </c>
      <c r="M350" s="187" t="s">
        <v>408</v>
      </c>
      <c r="N350" s="187">
        <v>178.11094499999999</v>
      </c>
      <c r="O350" s="186">
        <f t="shared" si="17"/>
        <v>642.5288220934799</v>
      </c>
      <c r="P350" s="186">
        <f t="shared" si="18"/>
        <v>199.27761658932408</v>
      </c>
      <c r="Q350" s="215">
        <f>IF(P350="-",0,P350/(1+'General inputs'!$H$30)^'MP Calculations'!$C$40)</f>
        <v>442.65317878609045</v>
      </c>
    </row>
    <row r="351" spans="3:17" x14ac:dyDescent="0.25">
      <c r="C351" s="159"/>
      <c r="D351" s="165" t="s">
        <v>295</v>
      </c>
      <c r="E351" s="162">
        <v>31012</v>
      </c>
      <c r="F351" s="166" t="str">
        <f t="shared" si="16"/>
        <v>Date check - OK</v>
      </c>
      <c r="G351" s="68"/>
      <c r="H351" s="162" t="s">
        <v>279</v>
      </c>
      <c r="I351" s="173">
        <v>89592.114709699614</v>
      </c>
      <c r="J351" s="168">
        <f>IFERROR(MIN('MP Calculations'!$E$30/I351,1),"-")</f>
        <v>0.31014580161562261</v>
      </c>
      <c r="K351" s="12"/>
      <c r="L351" s="159">
        <v>0.57020999999999999</v>
      </c>
      <c r="M351" s="187" t="s">
        <v>408</v>
      </c>
      <c r="N351" s="187">
        <v>137.14542700000001</v>
      </c>
      <c r="O351" s="186">
        <f t="shared" si="17"/>
        <v>78.20169392967</v>
      </c>
      <c r="P351" s="186">
        <f t="shared" si="18"/>
        <v>24.253927051517071</v>
      </c>
      <c r="Q351" s="215">
        <f>IF(P351="-",0,P351/(1+'General inputs'!$H$30)^'MP Calculations'!$C$40)</f>
        <v>53.87498150143545</v>
      </c>
    </row>
    <row r="352" spans="3:17" x14ac:dyDescent="0.25">
      <c r="C352" s="159"/>
      <c r="D352" s="165" t="s">
        <v>295</v>
      </c>
      <c r="E352" s="162">
        <v>31012</v>
      </c>
      <c r="F352" s="166" t="str">
        <f t="shared" si="16"/>
        <v>Date check - OK</v>
      </c>
      <c r="G352" s="68"/>
      <c r="H352" s="162" t="s">
        <v>279</v>
      </c>
      <c r="I352" s="173">
        <v>89592.114709699614</v>
      </c>
      <c r="J352" s="168">
        <f>IFERROR(MIN('MP Calculations'!$E$30/I352,1),"-")</f>
        <v>0.31014580161562261</v>
      </c>
      <c r="K352" s="12"/>
      <c r="L352" s="159">
        <v>0.79878300000000002</v>
      </c>
      <c r="M352" s="187" t="s">
        <v>408</v>
      </c>
      <c r="N352" s="187">
        <v>137.14542700000001</v>
      </c>
      <c r="O352" s="186">
        <f t="shared" si="17"/>
        <v>109.54943561534101</v>
      </c>
      <c r="P352" s="186">
        <f t="shared" si="18"/>
        <v>33.976297525458975</v>
      </c>
      <c r="Q352" s="215">
        <f>IF(P352="-",0,P352/(1+'General inputs'!$H$30)^'MP Calculations'!$C$40)</f>
        <v>75.471176143282506</v>
      </c>
    </row>
    <row r="353" spans="3:17" x14ac:dyDescent="0.25">
      <c r="C353" s="159"/>
      <c r="D353" s="165" t="s">
        <v>295</v>
      </c>
      <c r="E353" s="162">
        <v>31012</v>
      </c>
      <c r="F353" s="166" t="str">
        <f t="shared" si="16"/>
        <v>Date check - OK</v>
      </c>
      <c r="G353" s="68"/>
      <c r="H353" s="162" t="s">
        <v>279</v>
      </c>
      <c r="I353" s="173">
        <v>89592.114709699614</v>
      </c>
      <c r="J353" s="168">
        <f>IFERROR(MIN('MP Calculations'!$E$30/I353,1),"-")</f>
        <v>0.31014580161562261</v>
      </c>
      <c r="K353" s="12"/>
      <c r="L353" s="159">
        <v>0.78778300000000001</v>
      </c>
      <c r="M353" s="187" t="s">
        <v>408</v>
      </c>
      <c r="N353" s="187">
        <v>137.14542700000001</v>
      </c>
      <c r="O353" s="186">
        <f t="shared" si="17"/>
        <v>108.04083591834102</v>
      </c>
      <c r="P353" s="186">
        <f t="shared" si="18"/>
        <v>33.50841166311583</v>
      </c>
      <c r="Q353" s="215">
        <f>IF(P353="-",0,P353/(1+'General inputs'!$H$30)^'MP Calculations'!$C$40)</f>
        <v>74.431866421397956</v>
      </c>
    </row>
    <row r="354" spans="3:17" x14ac:dyDescent="0.25">
      <c r="C354" s="159"/>
      <c r="D354" s="165" t="s">
        <v>294</v>
      </c>
      <c r="E354" s="162">
        <v>31048</v>
      </c>
      <c r="F354" s="166" t="str">
        <f t="shared" si="16"/>
        <v>Date check - OK</v>
      </c>
      <c r="G354" s="68"/>
      <c r="H354" s="162" t="s">
        <v>279</v>
      </c>
      <c r="I354" s="173">
        <v>89592.114709699614</v>
      </c>
      <c r="J354" s="168">
        <f>IFERROR(MIN('MP Calculations'!$E$30/I354,1),"-")</f>
        <v>0.31014580161562261</v>
      </c>
      <c r="K354" s="12"/>
      <c r="L354" s="159">
        <v>161.54320200000001</v>
      </c>
      <c r="M354" s="187" t="s">
        <v>408</v>
      </c>
      <c r="N354" s="187">
        <v>1186.218891</v>
      </c>
      <c r="O354" s="186">
        <f t="shared" si="17"/>
        <v>191625.597925029</v>
      </c>
      <c r="P354" s="186">
        <f t="shared" si="18"/>
        <v>59431.874678531109</v>
      </c>
      <c r="Q354" s="215">
        <f>IF(P354="-",0,P354/(1+'General inputs'!$H$30)^'MP Calculations'!$C$40)</f>
        <v>132015.36980384449</v>
      </c>
    </row>
    <row r="355" spans="3:17" x14ac:dyDescent="0.25">
      <c r="C355" s="159"/>
      <c r="D355" s="165" t="s">
        <v>287</v>
      </c>
      <c r="E355" s="162">
        <v>31048</v>
      </c>
      <c r="F355" s="166" t="str">
        <f t="shared" si="16"/>
        <v>Date check - OK</v>
      </c>
      <c r="G355" s="68"/>
      <c r="H355" s="162" t="s">
        <v>279</v>
      </c>
      <c r="I355" s="173">
        <v>89592.114709699614</v>
      </c>
      <c r="J355" s="168">
        <f>IFERROR(MIN('MP Calculations'!$E$30/I355,1),"-")</f>
        <v>0.31014580161562261</v>
      </c>
      <c r="K355" s="12"/>
      <c r="L355" s="159">
        <v>99.216352000000001</v>
      </c>
      <c r="M355" s="187" t="s">
        <v>408</v>
      </c>
      <c r="N355" s="187">
        <v>833.55921999999998</v>
      </c>
      <c r="O355" s="186">
        <f t="shared" si="17"/>
        <v>82702.704984365439</v>
      </c>
      <c r="P355" s="186">
        <f t="shared" si="18"/>
        <v>25649.896733156365</v>
      </c>
      <c r="Q355" s="215">
        <f>IF(P355="-",0,P355/(1+'General inputs'!$H$30)^'MP Calculations'!$C$40)</f>
        <v>56975.833607370085</v>
      </c>
    </row>
    <row r="356" spans="3:17" x14ac:dyDescent="0.25">
      <c r="C356" s="159"/>
      <c r="D356" s="165" t="s">
        <v>294</v>
      </c>
      <c r="E356" s="162">
        <v>31048</v>
      </c>
      <c r="F356" s="166" t="str">
        <f t="shared" si="16"/>
        <v>Date check - OK</v>
      </c>
      <c r="G356" s="68"/>
      <c r="H356" s="162" t="s">
        <v>279</v>
      </c>
      <c r="I356" s="173">
        <v>89592.114709699614</v>
      </c>
      <c r="J356" s="168">
        <f>IFERROR(MIN('MP Calculations'!$E$30/I356,1),"-")</f>
        <v>0.31014580161562261</v>
      </c>
      <c r="K356" s="12"/>
      <c r="L356" s="159">
        <v>113.35366</v>
      </c>
      <c r="M356" s="187" t="s">
        <v>408</v>
      </c>
      <c r="N356" s="187">
        <v>1186.218891</v>
      </c>
      <c r="O356" s="186">
        <f t="shared" si="17"/>
        <v>134462.25285599107</v>
      </c>
      <c r="P356" s="186">
        <f t="shared" si="18"/>
        <v>41702.90319906389</v>
      </c>
      <c r="Q356" s="215">
        <f>IF(P356="-",0,P356/(1+'General inputs'!$H$30)^'MP Calculations'!$C$40)</f>
        <v>92634.200376437089</v>
      </c>
    </row>
    <row r="357" spans="3:17" x14ac:dyDescent="0.25">
      <c r="C357" s="159"/>
      <c r="D357" s="165" t="s">
        <v>294</v>
      </c>
      <c r="E357" s="162">
        <v>31048</v>
      </c>
      <c r="F357" s="166" t="str">
        <f t="shared" si="16"/>
        <v>Date check - OK</v>
      </c>
      <c r="G357" s="68"/>
      <c r="H357" s="162" t="s">
        <v>279</v>
      </c>
      <c r="I357" s="173">
        <v>89592.114709699614</v>
      </c>
      <c r="J357" s="168">
        <f>IFERROR(MIN('MP Calculations'!$E$30/I357,1),"-")</f>
        <v>0.31014580161562261</v>
      </c>
      <c r="K357" s="12"/>
      <c r="L357" s="159">
        <v>139.43240700000001</v>
      </c>
      <c r="M357" s="187" t="s">
        <v>408</v>
      </c>
      <c r="N357" s="187">
        <v>1186.218891</v>
      </c>
      <c r="O357" s="186">
        <f t="shared" si="17"/>
        <v>165397.35520100064</v>
      </c>
      <c r="P357" s="186">
        <f t="shared" si="18"/>
        <v>51297.295313918214</v>
      </c>
      <c r="Q357" s="215">
        <f>IF(P357="-",0,P357/(1+'General inputs'!$H$30)^'MP Calculations'!$C$40)</f>
        <v>113946.11809629199</v>
      </c>
    </row>
    <row r="358" spans="3:17" x14ac:dyDescent="0.25">
      <c r="C358" s="159"/>
      <c r="D358" s="165" t="s">
        <v>294</v>
      </c>
      <c r="E358" s="162">
        <v>31048</v>
      </c>
      <c r="F358" s="166" t="str">
        <f t="shared" si="16"/>
        <v>Date check - OK</v>
      </c>
      <c r="G358" s="68"/>
      <c r="H358" s="162" t="s">
        <v>279</v>
      </c>
      <c r="I358" s="173">
        <v>89592.114709699614</v>
      </c>
      <c r="J358" s="168">
        <f>IFERROR(MIN('MP Calculations'!$E$30/I358,1),"-")</f>
        <v>0.31014580161562261</v>
      </c>
      <c r="K358" s="12"/>
      <c r="L358" s="159">
        <v>86.237398999999996</v>
      </c>
      <c r="M358" s="187" t="s">
        <v>408</v>
      </c>
      <c r="N358" s="187">
        <v>1186.218891</v>
      </c>
      <c r="O358" s="186">
        <f t="shared" si="17"/>
        <v>102296.43180450451</v>
      </c>
      <c r="P358" s="186">
        <f t="shared" si="18"/>
        <v>31726.808844425923</v>
      </c>
      <c r="Q358" s="215">
        <f>IF(P358="-",0,P358/(1+'General inputs'!$H$30)^'MP Calculations'!$C$40)</f>
        <v>70474.411667949273</v>
      </c>
    </row>
    <row r="359" spans="3:17" x14ac:dyDescent="0.25">
      <c r="C359" s="159"/>
      <c r="D359" s="165" t="s">
        <v>294</v>
      </c>
      <c r="E359" s="162">
        <v>31048</v>
      </c>
      <c r="F359" s="166" t="str">
        <f t="shared" si="16"/>
        <v>Date check - OK</v>
      </c>
      <c r="G359" s="68"/>
      <c r="H359" s="162" t="s">
        <v>279</v>
      </c>
      <c r="I359" s="173">
        <v>89592.114709699614</v>
      </c>
      <c r="J359" s="168">
        <f>IFERROR(MIN('MP Calculations'!$E$30/I359,1),"-")</f>
        <v>0.31014580161562261</v>
      </c>
      <c r="K359" s="12"/>
      <c r="L359" s="159">
        <v>43.531511000000002</v>
      </c>
      <c r="M359" s="187" t="s">
        <v>408</v>
      </c>
      <c r="N359" s="187">
        <v>1186.218891</v>
      </c>
      <c r="O359" s="186">
        <f t="shared" si="17"/>
        <v>51637.9007019743</v>
      </c>
      <c r="P359" s="186">
        <f t="shared" si="18"/>
        <v>16015.278106961741</v>
      </c>
      <c r="Q359" s="215">
        <f>IF(P359="-",0,P359/(1+'General inputs'!$H$30)^'MP Calculations'!$C$40)</f>
        <v>35574.561180142533</v>
      </c>
    </row>
    <row r="360" spans="3:17" x14ac:dyDescent="0.25">
      <c r="C360" s="159"/>
      <c r="D360" s="165" t="s">
        <v>294</v>
      </c>
      <c r="E360" s="162">
        <v>31048</v>
      </c>
      <c r="F360" s="166" t="str">
        <f t="shared" si="16"/>
        <v>Date check - OK</v>
      </c>
      <c r="G360" s="68"/>
      <c r="H360" s="162" t="s">
        <v>279</v>
      </c>
      <c r="I360" s="173">
        <v>89592.114709699614</v>
      </c>
      <c r="J360" s="168">
        <f>IFERROR(MIN('MP Calculations'!$E$30/I360,1),"-")</f>
        <v>0.31014580161562261</v>
      </c>
      <c r="K360" s="12"/>
      <c r="L360" s="159">
        <v>119.440687</v>
      </c>
      <c r="M360" s="187" t="s">
        <v>408</v>
      </c>
      <c r="N360" s="187">
        <v>1186.218891</v>
      </c>
      <c r="O360" s="186">
        <f t="shared" si="17"/>
        <v>141682.79927341812</v>
      </c>
      <c r="P360" s="186">
        <f t="shared" si="18"/>
        <v>43942.325355799614</v>
      </c>
      <c r="Q360" s="215">
        <f>IF(P360="-",0,P360/(1+'General inputs'!$H$30)^'MP Calculations'!$C$40)</f>
        <v>97608.604192024359</v>
      </c>
    </row>
    <row r="361" spans="3:17" x14ac:dyDescent="0.25">
      <c r="C361" s="159"/>
      <c r="D361" s="165" t="s">
        <v>294</v>
      </c>
      <c r="E361" s="162">
        <v>31048</v>
      </c>
      <c r="F361" s="166" t="str">
        <f t="shared" si="16"/>
        <v>Date check - OK</v>
      </c>
      <c r="G361" s="68"/>
      <c r="H361" s="162" t="s">
        <v>279</v>
      </c>
      <c r="I361" s="173">
        <v>89592.114709699614</v>
      </c>
      <c r="J361" s="168">
        <f>IFERROR(MIN('MP Calculations'!$E$30/I361,1),"-")</f>
        <v>0.31014580161562261</v>
      </c>
      <c r="K361" s="12"/>
      <c r="L361" s="159">
        <v>40.809773999999997</v>
      </c>
      <c r="M361" s="187" t="s">
        <v>408</v>
      </c>
      <c r="N361" s="187">
        <v>1186.218891</v>
      </c>
      <c r="O361" s="186">
        <f t="shared" si="17"/>
        <v>48409.32485624063</v>
      </c>
      <c r="P361" s="186">
        <f t="shared" si="18"/>
        <v>15013.948863209835</v>
      </c>
      <c r="Q361" s="215">
        <f>IF(P361="-",0,P361/(1+'General inputs'!$H$30)^'MP Calculations'!$C$40)</f>
        <v>33350.319540040538</v>
      </c>
    </row>
    <row r="362" spans="3:17" x14ac:dyDescent="0.25">
      <c r="C362" s="159"/>
      <c r="D362" s="165" t="s">
        <v>318</v>
      </c>
      <c r="E362" s="162">
        <v>31048</v>
      </c>
      <c r="F362" s="166" t="str">
        <f t="shared" si="16"/>
        <v>Date check - OK</v>
      </c>
      <c r="G362" s="68"/>
      <c r="H362" s="162" t="s">
        <v>279</v>
      </c>
      <c r="I362" s="173">
        <v>89592.114709699614</v>
      </c>
      <c r="J362" s="168">
        <f>IFERROR(MIN('MP Calculations'!$E$30/I362,1),"-")</f>
        <v>0.31014580161562261</v>
      </c>
      <c r="K362" s="12"/>
      <c r="L362" s="159">
        <v>48.199741000000003</v>
      </c>
      <c r="M362" s="187" t="s">
        <v>408</v>
      </c>
      <c r="N362" s="187">
        <v>1186.218891</v>
      </c>
      <c r="O362" s="186">
        <f t="shared" si="17"/>
        <v>57175.443315507233</v>
      </c>
      <c r="P362" s="186">
        <f t="shared" si="18"/>
        <v>17732.723699816583</v>
      </c>
      <c r="Q362" s="215">
        <f>IF(P362="-",0,P362/(1+'General inputs'!$H$30)^'MP Calculations'!$C$40)</f>
        <v>39389.504193215907</v>
      </c>
    </row>
    <row r="363" spans="3:17" x14ac:dyDescent="0.25">
      <c r="C363" s="159"/>
      <c r="D363" s="165" t="s">
        <v>294</v>
      </c>
      <c r="E363" s="162">
        <v>31048</v>
      </c>
      <c r="F363" s="166" t="str">
        <f t="shared" si="16"/>
        <v>Date check - OK</v>
      </c>
      <c r="G363" s="68"/>
      <c r="H363" s="162" t="s">
        <v>279</v>
      </c>
      <c r="I363" s="173">
        <v>89592.114709699614</v>
      </c>
      <c r="J363" s="168">
        <f>IFERROR(MIN('MP Calculations'!$E$30/I363,1),"-")</f>
        <v>0.31014580161562261</v>
      </c>
      <c r="K363" s="12"/>
      <c r="L363" s="159">
        <v>97.900098999999997</v>
      </c>
      <c r="M363" s="187" t="s">
        <v>408</v>
      </c>
      <c r="N363" s="187">
        <v>1186.218891</v>
      </c>
      <c r="O363" s="186">
        <f t="shared" si="17"/>
        <v>116130.9468645702</v>
      </c>
      <c r="P363" s="186">
        <f t="shared" si="18"/>
        <v>36017.525607693402</v>
      </c>
      <c r="Q363" s="215">
        <f>IF(P363="-",0,P363/(1+'General inputs'!$H$30)^'MP Calculations'!$C$40)</f>
        <v>80005.333640210883</v>
      </c>
    </row>
    <row r="364" spans="3:17" x14ac:dyDescent="0.25">
      <c r="C364" s="159"/>
      <c r="D364" s="165" t="s">
        <v>318</v>
      </c>
      <c r="E364" s="162">
        <v>31048</v>
      </c>
      <c r="F364" s="166" t="str">
        <f t="shared" si="16"/>
        <v>Date check - OK</v>
      </c>
      <c r="G364" s="68"/>
      <c r="H364" s="162" t="s">
        <v>279</v>
      </c>
      <c r="I364" s="173">
        <v>89592.114709699614</v>
      </c>
      <c r="J364" s="168">
        <f>IFERROR(MIN('MP Calculations'!$E$30/I364,1),"-")</f>
        <v>0.31014580161562261</v>
      </c>
      <c r="K364" s="12"/>
      <c r="L364" s="159">
        <v>40.117986000000002</v>
      </c>
      <c r="M364" s="187" t="s">
        <v>408</v>
      </c>
      <c r="N364" s="187">
        <v>1186.218891</v>
      </c>
      <c r="O364" s="186">
        <f t="shared" si="17"/>
        <v>47588.712862073531</v>
      </c>
      <c r="P364" s="186">
        <f t="shared" si="18"/>
        <v>14759.439498463486</v>
      </c>
      <c r="Q364" s="215">
        <f>IF(P364="-",0,P364/(1+'General inputs'!$H$30)^'MP Calculations'!$C$40)</f>
        <v>32784.980686314833</v>
      </c>
    </row>
    <row r="365" spans="3:17" x14ac:dyDescent="0.25">
      <c r="C365" s="159"/>
      <c r="D365" s="165" t="s">
        <v>294</v>
      </c>
      <c r="E365" s="162">
        <v>31048</v>
      </c>
      <c r="F365" s="166" t="str">
        <f t="shared" si="16"/>
        <v>Date check - OK</v>
      </c>
      <c r="G365" s="68"/>
      <c r="H365" s="162" t="s">
        <v>279</v>
      </c>
      <c r="I365" s="173">
        <v>89592.114709699614</v>
      </c>
      <c r="J365" s="168">
        <f>IFERROR(MIN('MP Calculations'!$E$30/I365,1),"-")</f>
        <v>0.31014580161562261</v>
      </c>
      <c r="K365" s="12"/>
      <c r="L365" s="159">
        <v>76.260290999999995</v>
      </c>
      <c r="M365" s="187" t="s">
        <v>408</v>
      </c>
      <c r="N365" s="187">
        <v>1186.218891</v>
      </c>
      <c r="O365" s="186">
        <f t="shared" si="17"/>
        <v>90461.397817357269</v>
      </c>
      <c r="P365" s="186">
        <f t="shared" si="18"/>
        <v>28056.222741334004</v>
      </c>
      <c r="Q365" s="215">
        <f>IF(P365="-",0,P365/(1+'General inputs'!$H$30)^'MP Calculations'!$C$40)</f>
        <v>62320.979113152593</v>
      </c>
    </row>
    <row r="366" spans="3:17" x14ac:dyDescent="0.25">
      <c r="C366" s="159"/>
      <c r="D366" s="165" t="s">
        <v>294</v>
      </c>
      <c r="E366" s="162">
        <v>31048</v>
      </c>
      <c r="F366" s="166" t="str">
        <f t="shared" si="16"/>
        <v>Date check - OK</v>
      </c>
      <c r="G366" s="68"/>
      <c r="H366" s="162" t="s">
        <v>279</v>
      </c>
      <c r="I366" s="173">
        <v>89592.114709699614</v>
      </c>
      <c r="J366" s="168">
        <f>IFERROR(MIN('MP Calculations'!$E$30/I366,1),"-")</f>
        <v>0.31014580161562261</v>
      </c>
      <c r="K366" s="12"/>
      <c r="L366" s="159">
        <v>129.97120899999999</v>
      </c>
      <c r="M366" s="187" t="s">
        <v>408</v>
      </c>
      <c r="N366" s="187">
        <v>1186.218891</v>
      </c>
      <c r="O366" s="186">
        <f t="shared" si="17"/>
        <v>154174.30340190922</v>
      </c>
      <c r="P366" s="186">
        <f t="shared" si="18"/>
        <v>47816.512917115346</v>
      </c>
      <c r="Q366" s="215">
        <f>IF(P366="-",0,P366/(1+'General inputs'!$H$30)^'MP Calculations'!$C$40)</f>
        <v>106214.29442749164</v>
      </c>
    </row>
    <row r="367" spans="3:17" x14ac:dyDescent="0.25">
      <c r="C367" s="159"/>
      <c r="D367" s="165" t="s">
        <v>318</v>
      </c>
      <c r="E367" s="162">
        <v>31048</v>
      </c>
      <c r="F367" s="166" t="str">
        <f t="shared" si="16"/>
        <v>Date check - OK</v>
      </c>
      <c r="G367" s="68"/>
      <c r="H367" s="162" t="s">
        <v>279</v>
      </c>
      <c r="I367" s="173">
        <v>89592.114709699614</v>
      </c>
      <c r="J367" s="168">
        <f>IFERROR(MIN('MP Calculations'!$E$30/I367,1),"-")</f>
        <v>0.31014580161562261</v>
      </c>
      <c r="K367" s="12"/>
      <c r="L367" s="159">
        <v>67.094965999999999</v>
      </c>
      <c r="M367" s="187" t="s">
        <v>408</v>
      </c>
      <c r="N367" s="187">
        <v>1186.218891</v>
      </c>
      <c r="O367" s="186">
        <f t="shared" si="17"/>
        <v>79589.31616020271</v>
      </c>
      <c r="P367" s="186">
        <f t="shared" si="18"/>
        <v>24684.292260545295</v>
      </c>
      <c r="Q367" s="215">
        <f>IF(P367="-",0,P367/(1+'General inputs'!$H$30)^'MP Calculations'!$C$40)</f>
        <v>54830.947008629744</v>
      </c>
    </row>
    <row r="368" spans="3:17" x14ac:dyDescent="0.25">
      <c r="C368" s="159"/>
      <c r="D368" s="165" t="s">
        <v>318</v>
      </c>
      <c r="E368" s="162">
        <v>31048</v>
      </c>
      <c r="F368" s="166" t="str">
        <f t="shared" si="16"/>
        <v>Date check - OK</v>
      </c>
      <c r="G368" s="68"/>
      <c r="H368" s="162" t="s">
        <v>279</v>
      </c>
      <c r="I368" s="173">
        <v>89592.114709699614</v>
      </c>
      <c r="J368" s="168">
        <f>IFERROR(MIN('MP Calculations'!$E$30/I368,1),"-")</f>
        <v>0.31014580161562261</v>
      </c>
      <c r="K368" s="12"/>
      <c r="L368" s="159">
        <v>2.4271859999999998</v>
      </c>
      <c r="M368" s="187" t="s">
        <v>408</v>
      </c>
      <c r="N368" s="187">
        <v>1186.218891</v>
      </c>
      <c r="O368" s="186">
        <f t="shared" si="17"/>
        <v>2879.173885170726</v>
      </c>
      <c r="P368" s="186">
        <f t="shared" si="18"/>
        <v>892.96369260704137</v>
      </c>
      <c r="Q368" s="215">
        <f>IF(P368="-",0,P368/(1+'General inputs'!$H$30)^'MP Calculations'!$C$40)</f>
        <v>1983.5304327613489</v>
      </c>
    </row>
    <row r="369" spans="3:17" x14ac:dyDescent="0.25">
      <c r="C369" s="159"/>
      <c r="D369" s="165" t="s">
        <v>294</v>
      </c>
      <c r="E369" s="162">
        <v>31048</v>
      </c>
      <c r="F369" s="166" t="str">
        <f t="shared" si="16"/>
        <v>Date check - OK</v>
      </c>
      <c r="G369" s="68"/>
      <c r="H369" s="162" t="s">
        <v>279</v>
      </c>
      <c r="I369" s="173">
        <v>89592.114709699614</v>
      </c>
      <c r="J369" s="168">
        <f>IFERROR(MIN('MP Calculations'!$E$30/I369,1),"-")</f>
        <v>0.31014580161562261</v>
      </c>
      <c r="K369" s="12"/>
      <c r="L369" s="159">
        <v>92.706222999999994</v>
      </c>
      <c r="M369" s="187" t="s">
        <v>408</v>
      </c>
      <c r="N369" s="187">
        <v>1186.218891</v>
      </c>
      <c r="O369" s="186">
        <f t="shared" si="17"/>
        <v>109969.87303585869</v>
      </c>
      <c r="P369" s="186">
        <f t="shared" si="18"/>
        <v>34106.694426274633</v>
      </c>
      <c r="Q369" s="215">
        <f>IF(P369="-",0,P369/(1+'General inputs'!$H$30)^'MP Calculations'!$C$40)</f>
        <v>75760.825345424746</v>
      </c>
    </row>
    <row r="370" spans="3:17" x14ac:dyDescent="0.25">
      <c r="C370" s="159"/>
      <c r="D370" s="165" t="s">
        <v>318</v>
      </c>
      <c r="E370" s="162">
        <v>31048</v>
      </c>
      <c r="F370" s="166" t="str">
        <f t="shared" si="16"/>
        <v>Date check - OK</v>
      </c>
      <c r="G370" s="68"/>
      <c r="H370" s="162" t="s">
        <v>279</v>
      </c>
      <c r="I370" s="173">
        <v>89592.114709699614</v>
      </c>
      <c r="J370" s="168">
        <f>IFERROR(MIN('MP Calculations'!$E$30/I370,1),"-")</f>
        <v>0.31014580161562261</v>
      </c>
      <c r="K370" s="12"/>
      <c r="L370" s="159">
        <v>37.701988</v>
      </c>
      <c r="M370" s="187" t="s">
        <v>408</v>
      </c>
      <c r="N370" s="187">
        <v>1186.218891</v>
      </c>
      <c r="O370" s="186">
        <f t="shared" si="17"/>
        <v>44722.81039385531</v>
      </c>
      <c r="P370" s="186">
        <f t="shared" si="18"/>
        <v>13870.591880105754</v>
      </c>
      <c r="Q370" s="215">
        <f>IF(P370="-",0,P370/(1+'General inputs'!$H$30)^'MP Calculations'!$C$40)</f>
        <v>30810.593244029584</v>
      </c>
    </row>
    <row r="371" spans="3:17" x14ac:dyDescent="0.25">
      <c r="C371" s="159"/>
      <c r="D371" s="165" t="s">
        <v>318</v>
      </c>
      <c r="E371" s="162">
        <v>31048</v>
      </c>
      <c r="F371" s="166" t="str">
        <f t="shared" si="16"/>
        <v>Date check - OK</v>
      </c>
      <c r="G371" s="68"/>
      <c r="H371" s="162" t="s">
        <v>279</v>
      </c>
      <c r="I371" s="173">
        <v>89592.114709699614</v>
      </c>
      <c r="J371" s="168">
        <f>IFERROR(MIN('MP Calculations'!$E$30/I371,1),"-")</f>
        <v>0.31014580161562261</v>
      </c>
      <c r="K371" s="12"/>
      <c r="L371" s="159">
        <v>9.2884670000000007</v>
      </c>
      <c r="M371" s="187" t="s">
        <v>408</v>
      </c>
      <c r="N371" s="187">
        <v>1186.218891</v>
      </c>
      <c r="O371" s="186">
        <f t="shared" si="17"/>
        <v>11018.155023830097</v>
      </c>
      <c r="P371" s="186">
        <f t="shared" si="18"/>
        <v>3417.234522190985</v>
      </c>
      <c r="Q371" s="215">
        <f>IF(P371="-",0,P371/(1+'General inputs'!$H$30)^'MP Calculations'!$C$40)</f>
        <v>7590.665473597619</v>
      </c>
    </row>
    <row r="372" spans="3:17" x14ac:dyDescent="0.25">
      <c r="C372" s="159"/>
      <c r="D372" s="165" t="s">
        <v>318</v>
      </c>
      <c r="E372" s="162">
        <v>31048</v>
      </c>
      <c r="F372" s="166" t="str">
        <f t="shared" si="16"/>
        <v>Date check - OK</v>
      </c>
      <c r="G372" s="68"/>
      <c r="H372" s="162" t="s">
        <v>279</v>
      </c>
      <c r="I372" s="173">
        <v>89592.114709699614</v>
      </c>
      <c r="J372" s="168">
        <f>IFERROR(MIN('MP Calculations'!$E$30/I372,1),"-")</f>
        <v>0.31014580161562261</v>
      </c>
      <c r="K372" s="12"/>
      <c r="L372" s="159">
        <v>21.687235000000001</v>
      </c>
      <c r="M372" s="187" t="s">
        <v>408</v>
      </c>
      <c r="N372" s="187">
        <v>1186.218891</v>
      </c>
      <c r="O372" s="186">
        <f t="shared" si="17"/>
        <v>25725.807850556386</v>
      </c>
      <c r="P372" s="186">
        <f t="shared" si="18"/>
        <v>7978.7512980202873</v>
      </c>
      <c r="Q372" s="215">
        <f>IF(P372="-",0,P372/(1+'General inputs'!$H$30)^'MP Calculations'!$C$40)</f>
        <v>17723.112536471072</v>
      </c>
    </row>
    <row r="373" spans="3:17" x14ac:dyDescent="0.25">
      <c r="C373" s="159"/>
      <c r="D373" s="165" t="s">
        <v>294</v>
      </c>
      <c r="E373" s="162">
        <v>31048</v>
      </c>
      <c r="F373" s="166" t="str">
        <f t="shared" si="16"/>
        <v>Date check - OK</v>
      </c>
      <c r="G373" s="68"/>
      <c r="H373" s="162" t="s">
        <v>279</v>
      </c>
      <c r="I373" s="173">
        <v>89592.114709699614</v>
      </c>
      <c r="J373" s="168">
        <f>IFERROR(MIN('MP Calculations'!$E$30/I373,1),"-")</f>
        <v>0.31014580161562261</v>
      </c>
      <c r="K373" s="12"/>
      <c r="L373" s="159">
        <v>100.930218</v>
      </c>
      <c r="M373" s="187" t="s">
        <v>408</v>
      </c>
      <c r="N373" s="187">
        <v>1186.218891</v>
      </c>
      <c r="O373" s="186">
        <f t="shared" si="17"/>
        <v>119725.33126434823</v>
      </c>
      <c r="P373" s="186">
        <f t="shared" si="18"/>
        <v>37132.308838677243</v>
      </c>
      <c r="Q373" s="215">
        <f>IF(P373="-",0,P373/(1+'General inputs'!$H$30)^'MP Calculations'!$C$40)</f>
        <v>82481.58937478927</v>
      </c>
    </row>
    <row r="374" spans="3:17" x14ac:dyDescent="0.25">
      <c r="C374" s="159"/>
      <c r="D374" s="165" t="s">
        <v>294</v>
      </c>
      <c r="E374" s="162">
        <v>31048</v>
      </c>
      <c r="F374" s="166" t="str">
        <f t="shared" si="16"/>
        <v>Date check - OK</v>
      </c>
      <c r="G374" s="68"/>
      <c r="H374" s="162" t="s">
        <v>279</v>
      </c>
      <c r="I374" s="173">
        <v>89592.114709699614</v>
      </c>
      <c r="J374" s="168">
        <f>IFERROR(MIN('MP Calculations'!$E$30/I374,1),"-")</f>
        <v>0.31014580161562261</v>
      </c>
      <c r="K374" s="12"/>
      <c r="L374" s="159">
        <v>120.730343</v>
      </c>
      <c r="M374" s="187" t="s">
        <v>408</v>
      </c>
      <c r="N374" s="187">
        <v>1186.218891</v>
      </c>
      <c r="O374" s="186">
        <f t="shared" si="17"/>
        <v>143212.61358350961</v>
      </c>
      <c r="P374" s="186">
        <f t="shared" si="18"/>
        <v>44416.790841325987</v>
      </c>
      <c r="Q374" s="215">
        <f>IF(P374="-",0,P374/(1+'General inputs'!$H$30)^'MP Calculations'!$C$40)</f>
        <v>98662.529158546589</v>
      </c>
    </row>
    <row r="375" spans="3:17" x14ac:dyDescent="0.25">
      <c r="C375" s="159"/>
      <c r="D375" s="165" t="s">
        <v>294</v>
      </c>
      <c r="E375" s="162">
        <v>31048</v>
      </c>
      <c r="F375" s="166" t="str">
        <f t="shared" si="16"/>
        <v>Date check - OK</v>
      </c>
      <c r="G375" s="68"/>
      <c r="H375" s="162" t="s">
        <v>279</v>
      </c>
      <c r="I375" s="173">
        <v>89592.114709699614</v>
      </c>
      <c r="J375" s="168">
        <f>IFERROR(MIN('MP Calculations'!$E$30/I375,1),"-")</f>
        <v>0.31014580161562261</v>
      </c>
      <c r="K375" s="12"/>
      <c r="L375" s="159">
        <v>120.194199</v>
      </c>
      <c r="M375" s="187" t="s">
        <v>408</v>
      </c>
      <c r="N375" s="187">
        <v>1186.218891</v>
      </c>
      <c r="O375" s="186">
        <f t="shared" si="17"/>
        <v>142576.62944241331</v>
      </c>
      <c r="P375" s="186">
        <f t="shared" si="18"/>
        <v>44219.543030070854</v>
      </c>
      <c r="Q375" s="215">
        <f>IF(P375="-",0,P375/(1+'General inputs'!$H$30)^'MP Calculations'!$C$40)</f>
        <v>98224.384764032788</v>
      </c>
    </row>
    <row r="376" spans="3:17" x14ac:dyDescent="0.25">
      <c r="C376" s="159"/>
      <c r="D376" s="165" t="s">
        <v>294</v>
      </c>
      <c r="E376" s="162">
        <v>31048</v>
      </c>
      <c r="F376" s="166" t="str">
        <f t="shared" si="16"/>
        <v>Date check - OK</v>
      </c>
      <c r="G376" s="68"/>
      <c r="H376" s="162" t="s">
        <v>279</v>
      </c>
      <c r="I376" s="173">
        <v>89592.114709699614</v>
      </c>
      <c r="J376" s="168">
        <f>IFERROR(MIN('MP Calculations'!$E$30/I376,1),"-")</f>
        <v>0.31014580161562261</v>
      </c>
      <c r="K376" s="12"/>
      <c r="L376" s="159">
        <v>140.21079399999999</v>
      </c>
      <c r="M376" s="187" t="s">
        <v>408</v>
      </c>
      <c r="N376" s="187">
        <v>1186.218891</v>
      </c>
      <c r="O376" s="186">
        <f t="shared" si="17"/>
        <v>166320.69256490943</v>
      </c>
      <c r="P376" s="186">
        <f t="shared" si="18"/>
        <v>51583.664520809361</v>
      </c>
      <c r="Q376" s="215">
        <f>IF(P376="-",0,P376/(1+'General inputs'!$H$30)^'MP Calculations'!$C$40)</f>
        <v>114582.22686709314</v>
      </c>
    </row>
    <row r="377" spans="3:17" x14ac:dyDescent="0.25">
      <c r="C377" s="159"/>
      <c r="D377" s="165" t="s">
        <v>294</v>
      </c>
      <c r="E377" s="162">
        <v>31048</v>
      </c>
      <c r="F377" s="166" t="str">
        <f t="shared" si="16"/>
        <v>Date check - OK</v>
      </c>
      <c r="G377" s="68"/>
      <c r="H377" s="162" t="s">
        <v>279</v>
      </c>
      <c r="I377" s="173">
        <v>89592.114709699614</v>
      </c>
      <c r="J377" s="168">
        <f>IFERROR(MIN('MP Calculations'!$E$30/I377,1),"-")</f>
        <v>0.31014580161562261</v>
      </c>
      <c r="K377" s="12"/>
      <c r="L377" s="159">
        <v>14.989049</v>
      </c>
      <c r="M377" s="187" t="s">
        <v>408</v>
      </c>
      <c r="N377" s="187">
        <v>1186.218891</v>
      </c>
      <c r="O377" s="186">
        <f t="shared" si="17"/>
        <v>17780.293081924658</v>
      </c>
      <c r="P377" s="186">
        <f t="shared" si="18"/>
        <v>5514.4832508542322</v>
      </c>
      <c r="Q377" s="215">
        <f>IF(P377="-",0,P377/(1+'General inputs'!$H$30)^'MP Calculations'!$C$40)</f>
        <v>12249.261016523276</v>
      </c>
    </row>
    <row r="378" spans="3:17" x14ac:dyDescent="0.25">
      <c r="C378" s="159"/>
      <c r="D378" s="165" t="s">
        <v>306</v>
      </c>
      <c r="E378" s="162">
        <v>31048</v>
      </c>
      <c r="F378" s="166" t="str">
        <f t="shared" si="16"/>
        <v>Date check - OK</v>
      </c>
      <c r="G378" s="68"/>
      <c r="H378" s="162" t="s">
        <v>279</v>
      </c>
      <c r="I378" s="173">
        <v>89592.114709699614</v>
      </c>
      <c r="J378" s="168">
        <f>IFERROR(MIN('MP Calculations'!$E$30/I378,1),"-")</f>
        <v>0.31014580161562261</v>
      </c>
      <c r="K378" s="12"/>
      <c r="L378" s="159">
        <v>138.922113</v>
      </c>
      <c r="M378" s="187" t="s">
        <v>408</v>
      </c>
      <c r="N378" s="187">
        <v>1362.548726</v>
      </c>
      <c r="O378" s="186">
        <f t="shared" si="17"/>
        <v>189288.14808137802</v>
      </c>
      <c r="P378" s="186">
        <f t="shared" si="18"/>
        <v>58706.924423035663</v>
      </c>
      <c r="Q378" s="215">
        <f>IF(P378="-",0,P378/(1+'General inputs'!$H$30)^'MP Calculations'!$C$40)</f>
        <v>130405.04577172716</v>
      </c>
    </row>
    <row r="379" spans="3:17" x14ac:dyDescent="0.25">
      <c r="C379" s="159"/>
      <c r="D379" s="165" t="s">
        <v>294</v>
      </c>
      <c r="E379" s="162">
        <v>31048</v>
      </c>
      <c r="F379" s="166" t="str">
        <f t="shared" si="16"/>
        <v>Date check - OK</v>
      </c>
      <c r="G379" s="68"/>
      <c r="H379" s="162" t="s">
        <v>279</v>
      </c>
      <c r="I379" s="173">
        <v>89592.114709699614</v>
      </c>
      <c r="J379" s="168">
        <f>IFERROR(MIN('MP Calculations'!$E$30/I379,1),"-")</f>
        <v>0.31014580161562261</v>
      </c>
      <c r="K379" s="12"/>
      <c r="L379" s="159">
        <v>149.131766</v>
      </c>
      <c r="M379" s="187" t="s">
        <v>408</v>
      </c>
      <c r="N379" s="187">
        <v>1186.218891</v>
      </c>
      <c r="O379" s="186">
        <f t="shared" si="17"/>
        <v>176902.91807739151</v>
      </c>
      <c r="P379" s="186">
        <f t="shared" si="18"/>
        <v>54865.697335255405</v>
      </c>
      <c r="Q379" s="215">
        <f>IF(P379="-",0,P379/(1+'General inputs'!$H$30)^'MP Calculations'!$C$40)</f>
        <v>121872.57027374262</v>
      </c>
    </row>
    <row r="380" spans="3:17" x14ac:dyDescent="0.25">
      <c r="C380" s="159"/>
      <c r="D380" s="165" t="s">
        <v>294</v>
      </c>
      <c r="E380" s="162">
        <v>31048</v>
      </c>
      <c r="F380" s="166" t="str">
        <f t="shared" si="16"/>
        <v>Date check - OK</v>
      </c>
      <c r="G380" s="68"/>
      <c r="H380" s="162" t="s">
        <v>279</v>
      </c>
      <c r="I380" s="173">
        <v>89592.114709699614</v>
      </c>
      <c r="J380" s="168">
        <f>IFERROR(MIN('MP Calculations'!$E$30/I380,1),"-")</f>
        <v>0.31014580161562261</v>
      </c>
      <c r="K380" s="12"/>
      <c r="L380" s="159">
        <v>54.587018999999998</v>
      </c>
      <c r="M380" s="187" t="s">
        <v>408</v>
      </c>
      <c r="N380" s="187">
        <v>1186.218891</v>
      </c>
      <c r="O380" s="186">
        <f t="shared" si="17"/>
        <v>64752.153141175928</v>
      </c>
      <c r="P380" s="186">
        <f t="shared" si="18"/>
        <v>20082.608442307563</v>
      </c>
      <c r="Q380" s="215">
        <f>IF(P380="-",0,P380/(1+'General inputs'!$H$30)^'MP Calculations'!$C$40)</f>
        <v>44609.277336068175</v>
      </c>
    </row>
    <row r="381" spans="3:17" x14ac:dyDescent="0.25">
      <c r="C381" s="159"/>
      <c r="D381" s="165" t="s">
        <v>294</v>
      </c>
      <c r="E381" s="162">
        <v>31048</v>
      </c>
      <c r="F381" s="166" t="str">
        <f t="shared" si="16"/>
        <v>Date check - OK</v>
      </c>
      <c r="G381" s="68"/>
      <c r="H381" s="162" t="s">
        <v>279</v>
      </c>
      <c r="I381" s="173">
        <v>89592.114709699614</v>
      </c>
      <c r="J381" s="168">
        <f>IFERROR(MIN('MP Calculations'!$E$30/I381,1),"-")</f>
        <v>0.31014580161562261</v>
      </c>
      <c r="K381" s="12"/>
      <c r="L381" s="159">
        <v>28.459057000000001</v>
      </c>
      <c r="M381" s="187" t="s">
        <v>408</v>
      </c>
      <c r="N381" s="187">
        <v>1186.218891</v>
      </c>
      <c r="O381" s="186">
        <f t="shared" si="17"/>
        <v>33758.671033445789</v>
      </c>
      <c r="P381" s="186">
        <f t="shared" si="18"/>
        <v>10470.110089146143</v>
      </c>
      <c r="Q381" s="215">
        <f>IF(P381="-",0,P381/(1+'General inputs'!$H$30)^'MP Calculations'!$C$40)</f>
        <v>23257.140428129489</v>
      </c>
    </row>
    <row r="382" spans="3:17" x14ac:dyDescent="0.25">
      <c r="C382" s="159"/>
      <c r="D382" s="165" t="s">
        <v>294</v>
      </c>
      <c r="E382" s="162">
        <v>31048</v>
      </c>
      <c r="F382" s="166" t="str">
        <f t="shared" si="16"/>
        <v>Date check - OK</v>
      </c>
      <c r="G382" s="68"/>
      <c r="H382" s="162" t="s">
        <v>279</v>
      </c>
      <c r="I382" s="173">
        <v>89592.114709699614</v>
      </c>
      <c r="J382" s="168">
        <f>IFERROR(MIN('MP Calculations'!$E$30/I382,1),"-")</f>
        <v>0.31014580161562261</v>
      </c>
      <c r="K382" s="12"/>
      <c r="L382" s="159">
        <v>47.561947000000004</v>
      </c>
      <c r="M382" s="187" t="s">
        <v>408</v>
      </c>
      <c r="N382" s="187">
        <v>1186.218891</v>
      </c>
      <c r="O382" s="186">
        <f t="shared" si="17"/>
        <v>56418.880024140781</v>
      </c>
      <c r="P382" s="186">
        <f t="shared" si="18"/>
        <v>17498.078771342778</v>
      </c>
      <c r="Q382" s="215">
        <f>IF(P382="-",0,P382/(1+'General inputs'!$H$30)^'MP Calculations'!$C$40)</f>
        <v>38868.289993384249</v>
      </c>
    </row>
    <row r="383" spans="3:17" x14ac:dyDescent="0.25">
      <c r="C383" s="159"/>
      <c r="D383" s="165" t="s">
        <v>294</v>
      </c>
      <c r="E383" s="162">
        <v>31048</v>
      </c>
      <c r="F383" s="166" t="str">
        <f t="shared" si="16"/>
        <v>Date check - OK</v>
      </c>
      <c r="G383" s="68"/>
      <c r="H383" s="162" t="s">
        <v>279</v>
      </c>
      <c r="I383" s="173">
        <v>89592.114709699614</v>
      </c>
      <c r="J383" s="168">
        <f>IFERROR(MIN('MP Calculations'!$E$30/I383,1),"-")</f>
        <v>0.31014580161562261</v>
      </c>
      <c r="K383" s="12"/>
      <c r="L383" s="159">
        <v>4.2296889999999996</v>
      </c>
      <c r="M383" s="187" t="s">
        <v>408</v>
      </c>
      <c r="N383" s="187">
        <v>1186.218891</v>
      </c>
      <c r="O383" s="186">
        <f t="shared" si="17"/>
        <v>5017.3369948548989</v>
      </c>
      <c r="P383" s="186">
        <f t="shared" si="18"/>
        <v>1556.1060042449915</v>
      </c>
      <c r="Q383" s="215">
        <f>IF(P383="-",0,P383/(1+'General inputs'!$H$30)^'MP Calculations'!$C$40)</f>
        <v>3456.5611587311055</v>
      </c>
    </row>
    <row r="384" spans="3:17" x14ac:dyDescent="0.25">
      <c r="C384" s="159"/>
      <c r="D384" s="165" t="s">
        <v>294</v>
      </c>
      <c r="E384" s="162">
        <v>31048</v>
      </c>
      <c r="F384" s="166" t="str">
        <f t="shared" si="16"/>
        <v>Date check - OK</v>
      </c>
      <c r="G384" s="68"/>
      <c r="H384" s="162" t="s">
        <v>279</v>
      </c>
      <c r="I384" s="173">
        <v>89592.114709699614</v>
      </c>
      <c r="J384" s="168">
        <f>IFERROR(MIN('MP Calculations'!$E$30/I384,1),"-")</f>
        <v>0.31014580161562261</v>
      </c>
      <c r="K384" s="12"/>
      <c r="L384" s="159">
        <v>22.912979</v>
      </c>
      <c r="M384" s="187" t="s">
        <v>408</v>
      </c>
      <c r="N384" s="187">
        <v>1186.218891</v>
      </c>
      <c r="O384" s="186">
        <f t="shared" si="17"/>
        <v>27179.808538886289</v>
      </c>
      <c r="P384" s="186">
        <f t="shared" si="18"/>
        <v>8429.7035070520324</v>
      </c>
      <c r="Q384" s="215">
        <f>IF(P384="-",0,P384/(1+'General inputs'!$H$30)^'MP Calculations'!$C$40)</f>
        <v>18724.807720430861</v>
      </c>
    </row>
    <row r="385" spans="3:17" x14ac:dyDescent="0.25">
      <c r="C385" s="159"/>
      <c r="D385" s="165" t="s">
        <v>294</v>
      </c>
      <c r="E385" s="162">
        <v>31048</v>
      </c>
      <c r="F385" s="166" t="str">
        <f t="shared" si="16"/>
        <v>Date check - OK</v>
      </c>
      <c r="G385" s="68"/>
      <c r="H385" s="162" t="s">
        <v>279</v>
      </c>
      <c r="I385" s="173">
        <v>89592.114709699614</v>
      </c>
      <c r="J385" s="168">
        <f>IFERROR(MIN('MP Calculations'!$E$30/I385,1),"-")</f>
        <v>0.31014580161562261</v>
      </c>
      <c r="K385" s="12"/>
      <c r="L385" s="159">
        <v>43.391477999999999</v>
      </c>
      <c r="M385" s="187" t="s">
        <v>408</v>
      </c>
      <c r="N385" s="187">
        <v>1186.218891</v>
      </c>
      <c r="O385" s="186">
        <f t="shared" si="17"/>
        <v>51471.790912010896</v>
      </c>
      <c r="P385" s="186">
        <f t="shared" si="18"/>
        <v>15963.759852997338</v>
      </c>
      <c r="Q385" s="215">
        <f>IF(P385="-",0,P385/(1+'General inputs'!$H$30)^'MP Calculations'!$C$40)</f>
        <v>35460.124249025233</v>
      </c>
    </row>
    <row r="386" spans="3:17" x14ac:dyDescent="0.25">
      <c r="C386" s="159"/>
      <c r="D386" s="165" t="s">
        <v>283</v>
      </c>
      <c r="E386" s="162">
        <v>31048</v>
      </c>
      <c r="F386" s="166" t="str">
        <f t="shared" si="16"/>
        <v>Date check - OK</v>
      </c>
      <c r="G386" s="68"/>
      <c r="H386" s="162" t="s">
        <v>279</v>
      </c>
      <c r="I386" s="173">
        <v>89592.114709699614</v>
      </c>
      <c r="J386" s="168">
        <f>IFERROR(MIN('MP Calculations'!$E$30/I386,1),"-")</f>
        <v>0.31014580161562261</v>
      </c>
      <c r="K386" s="12"/>
      <c r="L386" s="159">
        <v>2.2306889999999999</v>
      </c>
      <c r="M386" s="187" t="s">
        <v>408</v>
      </c>
      <c r="N386" s="187">
        <v>480.89954999999998</v>
      </c>
      <c r="O386" s="186">
        <f t="shared" si="17"/>
        <v>1072.73733628995</v>
      </c>
      <c r="P386" s="186">
        <f t="shared" si="18"/>
        <v>332.70498108665424</v>
      </c>
      <c r="Q386" s="215">
        <f>IF(P386="-",0,P386/(1+'General inputs'!$H$30)^'MP Calculations'!$C$40)</f>
        <v>739.0339165862116</v>
      </c>
    </row>
    <row r="387" spans="3:17" x14ac:dyDescent="0.25">
      <c r="C387" s="159"/>
      <c r="D387" s="165" t="s">
        <v>288</v>
      </c>
      <c r="E387" s="162">
        <v>31048</v>
      </c>
      <c r="F387" s="166" t="str">
        <f t="shared" si="16"/>
        <v>Date check - OK</v>
      </c>
      <c r="G387" s="68"/>
      <c r="H387" s="162" t="s">
        <v>279</v>
      </c>
      <c r="I387" s="173">
        <v>89592.114709699614</v>
      </c>
      <c r="J387" s="168">
        <f>IFERROR(MIN('MP Calculations'!$E$30/I387,1),"-")</f>
        <v>0.31014580161562261</v>
      </c>
      <c r="K387" s="12"/>
      <c r="L387" s="159">
        <v>3.8269630000000001</v>
      </c>
      <c r="M387" s="187" t="s">
        <v>408</v>
      </c>
      <c r="N387" s="187">
        <v>480.89954999999998</v>
      </c>
      <c r="O387" s="186">
        <f t="shared" si="17"/>
        <v>1840.3847845666501</v>
      </c>
      <c r="P387" s="186">
        <f t="shared" si="18"/>
        <v>570.78761429061865</v>
      </c>
      <c r="Q387" s="215">
        <f>IF(P387="-",0,P387/(1+'General inputs'!$H$30)^'MP Calculations'!$C$40)</f>
        <v>1267.8842521393699</v>
      </c>
    </row>
    <row r="388" spans="3:17" x14ac:dyDescent="0.25">
      <c r="C388" s="159"/>
      <c r="D388" s="165" t="s">
        <v>294</v>
      </c>
      <c r="E388" s="162">
        <v>31048</v>
      </c>
      <c r="F388" s="166" t="str">
        <f t="shared" si="16"/>
        <v>Date check - OK</v>
      </c>
      <c r="G388" s="68"/>
      <c r="H388" s="162" t="s">
        <v>279</v>
      </c>
      <c r="I388" s="173">
        <v>89592.114709699614</v>
      </c>
      <c r="J388" s="168">
        <f>IFERROR(MIN('MP Calculations'!$E$30/I388,1),"-")</f>
        <v>0.31014580161562261</v>
      </c>
      <c r="K388" s="12"/>
      <c r="L388" s="159">
        <v>99.471756999999997</v>
      </c>
      <c r="M388" s="187" t="s">
        <v>408</v>
      </c>
      <c r="N388" s="187">
        <v>1186.218891</v>
      </c>
      <c r="O388" s="186">
        <f t="shared" si="17"/>
        <v>117995.27727436148</v>
      </c>
      <c r="P388" s="186">
        <f t="shared" si="18"/>
        <v>36595.739857114495</v>
      </c>
      <c r="Q388" s="215">
        <f>IF(P388="-",0,P388/(1+'General inputs'!$H$30)^'MP Calculations'!$C$40)</f>
        <v>81289.714595313955</v>
      </c>
    </row>
    <row r="389" spans="3:17" x14ac:dyDescent="0.25">
      <c r="C389" s="159"/>
      <c r="D389" s="165" t="s">
        <v>294</v>
      </c>
      <c r="E389" s="162">
        <v>31048</v>
      </c>
      <c r="F389" s="166" t="str">
        <f t="shared" si="16"/>
        <v>Date check - OK</v>
      </c>
      <c r="G389" s="68"/>
      <c r="H389" s="162" t="s">
        <v>279</v>
      </c>
      <c r="I389" s="173">
        <v>89592.114709699614</v>
      </c>
      <c r="J389" s="168">
        <f>IFERROR(MIN('MP Calculations'!$E$30/I389,1),"-")</f>
        <v>0.31014580161562261</v>
      </c>
      <c r="K389" s="12"/>
      <c r="L389" s="159">
        <v>34.456507999999999</v>
      </c>
      <c r="M389" s="187" t="s">
        <v>408</v>
      </c>
      <c r="N389" s="187">
        <v>1186.218891</v>
      </c>
      <c r="O389" s="186">
        <f t="shared" si="17"/>
        <v>40872.960707492624</v>
      </c>
      <c r="P389" s="186">
        <f t="shared" si="18"/>
        <v>12676.577163029146</v>
      </c>
      <c r="Q389" s="215">
        <f>IF(P389="-",0,P389/(1+'General inputs'!$H$30)^'MP Calculations'!$C$40)</f>
        <v>28158.341480498355</v>
      </c>
    </row>
    <row r="390" spans="3:17" x14ac:dyDescent="0.25">
      <c r="C390" s="159"/>
      <c r="D390" s="165" t="s">
        <v>294</v>
      </c>
      <c r="E390" s="162">
        <v>31048</v>
      </c>
      <c r="F390" s="166" t="str">
        <f t="shared" si="16"/>
        <v>Date check - OK</v>
      </c>
      <c r="G390" s="68"/>
      <c r="H390" s="162" t="s">
        <v>279</v>
      </c>
      <c r="I390" s="173">
        <v>89592.114709699614</v>
      </c>
      <c r="J390" s="168">
        <f>IFERROR(MIN('MP Calculations'!$E$30/I390,1),"-")</f>
        <v>0.31014580161562261</v>
      </c>
      <c r="K390" s="12"/>
      <c r="L390" s="159">
        <v>14.789225999999999</v>
      </c>
      <c r="M390" s="187" t="s">
        <v>408</v>
      </c>
      <c r="N390" s="187">
        <v>1186.218891</v>
      </c>
      <c r="O390" s="186">
        <f t="shared" si="17"/>
        <v>17543.259264468365</v>
      </c>
      <c r="P390" s="186">
        <f t="shared" si="18"/>
        <v>5440.9682075292385</v>
      </c>
      <c r="Q390" s="215">
        <f>IF(P390="-",0,P390/(1+'General inputs'!$H$30)^'MP Calculations'!$C$40)</f>
        <v>12085.962859041454</v>
      </c>
    </row>
    <row r="391" spans="3:17" x14ac:dyDescent="0.25">
      <c r="C391" s="159"/>
      <c r="D391" s="165" t="s">
        <v>292</v>
      </c>
      <c r="E391" s="162">
        <v>31048</v>
      </c>
      <c r="F391" s="166" t="str">
        <f t="shared" si="16"/>
        <v>Date check - OK</v>
      </c>
      <c r="G391" s="68"/>
      <c r="H391" s="162" t="s">
        <v>279</v>
      </c>
      <c r="I391" s="173">
        <v>89592.114709699614</v>
      </c>
      <c r="J391" s="168">
        <f>IFERROR(MIN('MP Calculations'!$E$30/I391,1),"-")</f>
        <v>0.31014580161562261</v>
      </c>
      <c r="K391" s="12"/>
      <c r="L391" s="159">
        <v>301.610255</v>
      </c>
      <c r="M391" s="187" t="s">
        <v>408</v>
      </c>
      <c r="N391" s="187">
        <v>356.22188899999998</v>
      </c>
      <c r="O391" s="186">
        <f t="shared" si="17"/>
        <v>107440.17477787168</v>
      </c>
      <c r="P391" s="186">
        <f t="shared" si="18"/>
        <v>33322.119132205611</v>
      </c>
      <c r="Q391" s="215">
        <f>IF(P391="-",0,P391/(1+'General inputs'!$H$30)^'MP Calculations'!$C$40)</f>
        <v>74018.056870667249</v>
      </c>
    </row>
    <row r="392" spans="3:17" x14ac:dyDescent="0.25">
      <c r="C392" s="159"/>
      <c r="D392" s="165" t="s">
        <v>319</v>
      </c>
      <c r="E392" s="162">
        <v>31228</v>
      </c>
      <c r="F392" s="166" t="str">
        <f t="shared" si="16"/>
        <v>Date check - OK</v>
      </c>
      <c r="G392" s="68"/>
      <c r="H392" s="162" t="s">
        <v>279</v>
      </c>
      <c r="I392" s="173">
        <v>89592.114709699614</v>
      </c>
      <c r="J392" s="168">
        <f>IFERROR(MIN('MP Calculations'!$E$30/I392,1),"-")</f>
        <v>0.31014580161562261</v>
      </c>
      <c r="K392" s="12"/>
      <c r="L392" s="159">
        <v>1</v>
      </c>
      <c r="M392" s="187" t="s">
        <v>409</v>
      </c>
      <c r="N392" s="187">
        <v>153834.382771</v>
      </c>
      <c r="O392" s="186">
        <f t="shared" si="17"/>
        <v>153834.382771</v>
      </c>
      <c r="P392" s="186">
        <f t="shared" si="18"/>
        <v>47711.087960556317</v>
      </c>
      <c r="Q392" s="215">
        <f>IF(P392="-",0,P392/(1+'General inputs'!$H$30)^'MP Calculations'!$C$40)</f>
        <v>105980.11513057436</v>
      </c>
    </row>
    <row r="393" spans="3:17" x14ac:dyDescent="0.25">
      <c r="C393" s="159"/>
      <c r="D393" s="165" t="s">
        <v>320</v>
      </c>
      <c r="E393" s="162">
        <v>31228</v>
      </c>
      <c r="F393" s="166" t="str">
        <f t="shared" si="16"/>
        <v>Date check - OK</v>
      </c>
      <c r="G393" s="68"/>
      <c r="H393" s="162" t="s">
        <v>279</v>
      </c>
      <c r="I393" s="173">
        <v>89592.114709699614</v>
      </c>
      <c r="J393" s="168">
        <f>IFERROR(MIN('MP Calculations'!$E$30/I393,1),"-")</f>
        <v>0.31014580161562261</v>
      </c>
      <c r="K393" s="12"/>
      <c r="L393" s="159">
        <v>1</v>
      </c>
      <c r="M393" s="187" t="s">
        <v>409</v>
      </c>
      <c r="N393" s="187">
        <v>39590.964376999997</v>
      </c>
      <c r="O393" s="186">
        <f t="shared" si="17"/>
        <v>39590.964376999997</v>
      </c>
      <c r="P393" s="186">
        <f t="shared" si="18"/>
        <v>12278.971383440223</v>
      </c>
      <c r="Q393" s="215">
        <f>IF(P393="-",0,P393/(1+'General inputs'!$H$30)^'MP Calculations'!$C$40)</f>
        <v>27275.144133746329</v>
      </c>
    </row>
    <row r="394" spans="3:17" x14ac:dyDescent="0.25">
      <c r="C394" s="159"/>
      <c r="D394" s="165" t="s">
        <v>321</v>
      </c>
      <c r="E394" s="162">
        <v>31228</v>
      </c>
      <c r="F394" s="166" t="str">
        <f t="shared" si="16"/>
        <v>Date check - OK</v>
      </c>
      <c r="G394" s="68"/>
      <c r="H394" s="162" t="s">
        <v>279</v>
      </c>
      <c r="I394" s="173">
        <v>89592.114709699614</v>
      </c>
      <c r="J394" s="168">
        <f>IFERROR(MIN('MP Calculations'!$E$30/I394,1),"-")</f>
        <v>0.31014580161562261</v>
      </c>
      <c r="K394" s="12"/>
      <c r="L394" s="159">
        <v>1</v>
      </c>
      <c r="M394" s="187" t="s">
        <v>409</v>
      </c>
      <c r="N394" s="187">
        <v>17446.865657999999</v>
      </c>
      <c r="O394" s="186">
        <f t="shared" si="17"/>
        <v>17446.865657999999</v>
      </c>
      <c r="P394" s="186">
        <f t="shared" si="18"/>
        <v>5411.0721351804868</v>
      </c>
      <c r="Q394" s="215">
        <f>IF(P394="-",0,P394/(1+'General inputs'!$H$30)^'MP Calculations'!$C$40)</f>
        <v>12019.555042223441</v>
      </c>
    </row>
    <row r="395" spans="3:17" x14ac:dyDescent="0.25">
      <c r="C395" s="159"/>
      <c r="D395" s="165" t="s">
        <v>322</v>
      </c>
      <c r="E395" s="162">
        <v>31228</v>
      </c>
      <c r="F395" s="166" t="str">
        <f t="shared" si="16"/>
        <v>Date check - OK</v>
      </c>
      <c r="G395" s="68"/>
      <c r="H395" s="162" t="s">
        <v>279</v>
      </c>
      <c r="I395" s="173">
        <v>89592.114709699614</v>
      </c>
      <c r="J395" s="168">
        <f>IFERROR(MIN('MP Calculations'!$E$30/I395,1),"-")</f>
        <v>0.31014580161562261</v>
      </c>
      <c r="K395" s="12"/>
      <c r="L395" s="159">
        <v>1</v>
      </c>
      <c r="M395" s="187" t="s">
        <v>409</v>
      </c>
      <c r="N395" s="187">
        <v>258526.18147700001</v>
      </c>
      <c r="O395" s="186">
        <f t="shared" si="17"/>
        <v>258526.18147700001</v>
      </c>
      <c r="P395" s="186">
        <f t="shared" si="18"/>
        <v>80180.809792810091</v>
      </c>
      <c r="Q395" s="215">
        <f>IF(P395="-",0,P395/(1+'General inputs'!$H$30)^'MP Calculations'!$C$40)</f>
        <v>178104.75125048091</v>
      </c>
    </row>
    <row r="396" spans="3:17" x14ac:dyDescent="0.25">
      <c r="C396" s="159"/>
      <c r="D396" s="165" t="s">
        <v>323</v>
      </c>
      <c r="E396" s="162">
        <v>31228</v>
      </c>
      <c r="F396" s="166" t="str">
        <f t="shared" si="16"/>
        <v>Date check - OK</v>
      </c>
      <c r="G396" s="68"/>
      <c r="H396" s="162" t="s">
        <v>279</v>
      </c>
      <c r="I396" s="173">
        <v>89592.114709699614</v>
      </c>
      <c r="J396" s="168">
        <f>IFERROR(MIN('MP Calculations'!$E$30/I396,1),"-")</f>
        <v>0.31014580161562261</v>
      </c>
      <c r="K396" s="12"/>
      <c r="L396" s="159">
        <v>1</v>
      </c>
      <c r="M396" s="187" t="s">
        <v>409</v>
      </c>
      <c r="N396" s="187">
        <v>74117.725369000007</v>
      </c>
      <c r="O396" s="186">
        <f t="shared" si="17"/>
        <v>74117.725369000007</v>
      </c>
      <c r="P396" s="186">
        <f t="shared" si="18"/>
        <v>22987.301348495075</v>
      </c>
      <c r="Q396" s="215">
        <f>IF(P396="-",0,P396/(1+'General inputs'!$H$30)^'MP Calculations'!$C$40)</f>
        <v>51061.439753140119</v>
      </c>
    </row>
    <row r="397" spans="3:17" x14ac:dyDescent="0.25">
      <c r="C397" s="159"/>
      <c r="D397" s="165" t="s">
        <v>324</v>
      </c>
      <c r="E397" s="162">
        <v>31228</v>
      </c>
      <c r="F397" s="166" t="str">
        <f t="shared" si="16"/>
        <v>Date check - OK</v>
      </c>
      <c r="G397" s="68"/>
      <c r="H397" s="162" t="s">
        <v>279</v>
      </c>
      <c r="I397" s="173">
        <v>89592.114709699614</v>
      </c>
      <c r="J397" s="168">
        <f>IFERROR(MIN('MP Calculations'!$E$30/I397,1),"-")</f>
        <v>0.31014580161562261</v>
      </c>
      <c r="K397" s="12"/>
      <c r="L397" s="159">
        <v>1</v>
      </c>
      <c r="M397" s="187" t="s">
        <v>409</v>
      </c>
      <c r="N397" s="187">
        <v>70566.019973000002</v>
      </c>
      <c r="O397" s="186">
        <f t="shared" si="17"/>
        <v>70566.019973000002</v>
      </c>
      <c r="P397" s="186">
        <f t="shared" si="18"/>
        <v>21885.754831350121</v>
      </c>
      <c r="Q397" s="215">
        <f>IF(P397="-",0,P397/(1+'General inputs'!$H$30)^'MP Calculations'!$C$40)</f>
        <v>48614.586585481935</v>
      </c>
    </row>
    <row r="398" spans="3:17" x14ac:dyDescent="0.25">
      <c r="C398" s="159"/>
      <c r="D398" s="165" t="s">
        <v>283</v>
      </c>
      <c r="E398" s="162">
        <v>31413</v>
      </c>
      <c r="F398" s="166" t="str">
        <f t="shared" si="16"/>
        <v>Date check - OK</v>
      </c>
      <c r="G398" s="68"/>
      <c r="H398" s="162" t="s">
        <v>279</v>
      </c>
      <c r="I398" s="173">
        <v>89592.114709699614</v>
      </c>
      <c r="J398" s="168">
        <f>IFERROR(MIN('MP Calculations'!$E$30/I398,1),"-")</f>
        <v>0.31014580161562261</v>
      </c>
      <c r="K398" s="12"/>
      <c r="L398" s="159">
        <v>11.983589</v>
      </c>
      <c r="M398" s="187" t="s">
        <v>408</v>
      </c>
      <c r="N398" s="187">
        <v>480.89954999999998</v>
      </c>
      <c r="O398" s="186">
        <f t="shared" si="17"/>
        <v>5762.9025574849502</v>
      </c>
      <c r="P398" s="186">
        <f t="shared" si="18"/>
        <v>1787.3400333238915</v>
      </c>
      <c r="Q398" s="215">
        <f>IF(P398="-",0,P398/(1+'General inputs'!$H$30)^'MP Calculations'!$C$40)</f>
        <v>3970.1987652377557</v>
      </c>
    </row>
    <row r="399" spans="3:17" x14ac:dyDescent="0.25">
      <c r="C399" s="159"/>
      <c r="D399" s="165" t="s">
        <v>283</v>
      </c>
      <c r="E399" s="162">
        <v>31413</v>
      </c>
      <c r="F399" s="166" t="str">
        <f t="shared" si="16"/>
        <v>Date check - OK</v>
      </c>
      <c r="G399" s="68"/>
      <c r="H399" s="162" t="s">
        <v>279</v>
      </c>
      <c r="I399" s="173">
        <v>89592.114709699614</v>
      </c>
      <c r="J399" s="168">
        <f>IFERROR(MIN('MP Calculations'!$E$30/I399,1),"-")</f>
        <v>0.31014580161562261</v>
      </c>
      <c r="K399" s="12"/>
      <c r="L399" s="159">
        <v>13.796837999999999</v>
      </c>
      <c r="M399" s="187" t="s">
        <v>408</v>
      </c>
      <c r="N399" s="187">
        <v>480.89954999999998</v>
      </c>
      <c r="O399" s="186">
        <f t="shared" si="17"/>
        <v>6634.8931856228992</v>
      </c>
      <c r="P399" s="186">
        <f t="shared" si="18"/>
        <v>2057.7842656890462</v>
      </c>
      <c r="Q399" s="215">
        <f>IF(P399="-",0,P399/(1+'General inputs'!$H$30)^'MP Calculations'!$C$40)</f>
        <v>4570.9335652103337</v>
      </c>
    </row>
    <row r="400" spans="3:17" x14ac:dyDescent="0.25">
      <c r="C400" s="159"/>
      <c r="D400" s="165" t="s">
        <v>283</v>
      </c>
      <c r="E400" s="162">
        <v>31413</v>
      </c>
      <c r="F400" s="166" t="str">
        <f t="shared" si="16"/>
        <v>Date check - OK</v>
      </c>
      <c r="G400" s="68"/>
      <c r="H400" s="162" t="s">
        <v>279</v>
      </c>
      <c r="I400" s="173">
        <v>89592.114709699614</v>
      </c>
      <c r="J400" s="168">
        <f>IFERROR(MIN('MP Calculations'!$E$30/I400,1),"-")</f>
        <v>0.31014580161562261</v>
      </c>
      <c r="K400" s="12"/>
      <c r="L400" s="159">
        <v>10.893283</v>
      </c>
      <c r="M400" s="187" t="s">
        <v>408</v>
      </c>
      <c r="N400" s="187">
        <v>480.89954999999998</v>
      </c>
      <c r="O400" s="186">
        <f t="shared" si="17"/>
        <v>5238.5748927226496</v>
      </c>
      <c r="P400" s="186">
        <f t="shared" si="18"/>
        <v>1624.7220094269403</v>
      </c>
      <c r="Q400" s="215">
        <f>IF(P400="-",0,P400/(1+'General inputs'!$H$30)^'MP Calculations'!$C$40)</f>
        <v>3608.9771366479131</v>
      </c>
    </row>
    <row r="401" spans="3:17" x14ac:dyDescent="0.25">
      <c r="C401" s="159"/>
      <c r="D401" s="165" t="s">
        <v>283</v>
      </c>
      <c r="E401" s="162">
        <v>31413</v>
      </c>
      <c r="F401" s="166" t="str">
        <f t="shared" si="16"/>
        <v>Date check - OK</v>
      </c>
      <c r="G401" s="68"/>
      <c r="H401" s="162" t="s">
        <v>279</v>
      </c>
      <c r="I401" s="173">
        <v>89592.114709699614</v>
      </c>
      <c r="J401" s="168">
        <f>IFERROR(MIN('MP Calculations'!$E$30/I401,1),"-")</f>
        <v>0.31014580161562261</v>
      </c>
      <c r="K401" s="12"/>
      <c r="L401" s="159">
        <v>69.070769999999996</v>
      </c>
      <c r="M401" s="187" t="s">
        <v>408</v>
      </c>
      <c r="N401" s="187">
        <v>480.89954999999998</v>
      </c>
      <c r="O401" s="186">
        <f t="shared" si="17"/>
        <v>33216.102211153499</v>
      </c>
      <c r="P401" s="186">
        <f t="shared" si="18"/>
        <v>10301.834646824656</v>
      </c>
      <c r="Q401" s="215">
        <f>IF(P401="-",0,P401/(1+'General inputs'!$H$30)^'MP Calculations'!$C$40)</f>
        <v>22883.352038193316</v>
      </c>
    </row>
    <row r="402" spans="3:17" x14ac:dyDescent="0.25">
      <c r="C402" s="159"/>
      <c r="D402" s="165" t="s">
        <v>283</v>
      </c>
      <c r="E402" s="162">
        <v>31413</v>
      </c>
      <c r="F402" s="166" t="str">
        <f t="shared" si="16"/>
        <v>Date check - OK</v>
      </c>
      <c r="G402" s="68"/>
      <c r="H402" s="162" t="s">
        <v>279</v>
      </c>
      <c r="I402" s="173">
        <v>89592.114709699614</v>
      </c>
      <c r="J402" s="168">
        <f>IFERROR(MIN('MP Calculations'!$E$30/I402,1),"-")</f>
        <v>0.31014580161562261</v>
      </c>
      <c r="K402" s="12"/>
      <c r="L402" s="159">
        <v>8.3982860000000006</v>
      </c>
      <c r="M402" s="187" t="s">
        <v>408</v>
      </c>
      <c r="N402" s="187">
        <v>480.89954999999998</v>
      </c>
      <c r="O402" s="186">
        <f t="shared" si="17"/>
        <v>4038.7319581713</v>
      </c>
      <c r="P402" s="186">
        <f t="shared" si="18"/>
        <v>1252.595760677671</v>
      </c>
      <c r="Q402" s="215">
        <f>IF(P402="-",0,P402/(1+'General inputs'!$H$30)^'MP Calculations'!$C$40)</f>
        <v>2782.3771916170963</v>
      </c>
    </row>
    <row r="403" spans="3:17" x14ac:dyDescent="0.25">
      <c r="C403" s="159"/>
      <c r="D403" s="165" t="s">
        <v>325</v>
      </c>
      <c r="E403" s="162">
        <v>31413</v>
      </c>
      <c r="F403" s="166" t="str">
        <f t="shared" si="16"/>
        <v>Date check - OK</v>
      </c>
      <c r="G403" s="68"/>
      <c r="H403" s="162" t="s">
        <v>279</v>
      </c>
      <c r="I403" s="173">
        <v>89592.114709699614</v>
      </c>
      <c r="J403" s="168">
        <f>IFERROR(MIN('MP Calculations'!$E$30/I403,1),"-")</f>
        <v>0.31014580161562261</v>
      </c>
      <c r="K403" s="12"/>
      <c r="L403" s="159">
        <v>4.6866380000000003</v>
      </c>
      <c r="M403" s="187" t="s">
        <v>408</v>
      </c>
      <c r="N403" s="187">
        <v>1538.878561</v>
      </c>
      <c r="O403" s="186">
        <f t="shared" si="17"/>
        <v>7212.1667413679188</v>
      </c>
      <c r="P403" s="186">
        <f t="shared" si="18"/>
        <v>2236.8232353870858</v>
      </c>
      <c r="Q403" s="215">
        <f>IF(P403="-",0,P403/(1+'General inputs'!$H$30)^'MP Calculations'!$C$40)</f>
        <v>4968.6308601691981</v>
      </c>
    </row>
    <row r="404" spans="3:17" x14ac:dyDescent="0.25">
      <c r="C404" s="159"/>
      <c r="D404" s="165" t="s">
        <v>325</v>
      </c>
      <c r="E404" s="162">
        <v>31413</v>
      </c>
      <c r="F404" s="166" t="str">
        <f t="shared" si="16"/>
        <v>Date check - OK</v>
      </c>
      <c r="G404" s="68"/>
      <c r="H404" s="162" t="s">
        <v>279</v>
      </c>
      <c r="I404" s="173">
        <v>89592.114709699614</v>
      </c>
      <c r="J404" s="168">
        <f>IFERROR(MIN('MP Calculations'!$E$30/I404,1),"-")</f>
        <v>0.31014580161562261</v>
      </c>
      <c r="K404" s="12"/>
      <c r="L404" s="159">
        <v>60.213977999999997</v>
      </c>
      <c r="M404" s="187" t="s">
        <v>408</v>
      </c>
      <c r="N404" s="187">
        <v>1538.878561</v>
      </c>
      <c r="O404" s="186">
        <f t="shared" si="17"/>
        <v>92661.999816725656</v>
      </c>
      <c r="P404" s="186">
        <f t="shared" si="18"/>
        <v>28738.730212465052</v>
      </c>
      <c r="Q404" s="215">
        <f>IF(P404="-",0,P404/(1+'General inputs'!$H$30)^'MP Calculations'!$C$40)</f>
        <v>63837.025454995484</v>
      </c>
    </row>
    <row r="405" spans="3:17" x14ac:dyDescent="0.25">
      <c r="C405" s="159"/>
      <c r="D405" s="165" t="s">
        <v>325</v>
      </c>
      <c r="E405" s="162">
        <v>31413</v>
      </c>
      <c r="F405" s="166" t="str">
        <f t="shared" si="16"/>
        <v>Date check - OK</v>
      </c>
      <c r="G405" s="68"/>
      <c r="H405" s="162" t="s">
        <v>279</v>
      </c>
      <c r="I405" s="173">
        <v>89592.114709699614</v>
      </c>
      <c r="J405" s="168">
        <f>IFERROR(MIN('MP Calculations'!$E$30/I405,1),"-")</f>
        <v>0.31014580161562261</v>
      </c>
      <c r="K405" s="12"/>
      <c r="L405" s="159">
        <v>176.782893</v>
      </c>
      <c r="M405" s="187" t="s">
        <v>408</v>
      </c>
      <c r="N405" s="187">
        <v>1538.878561</v>
      </c>
      <c r="O405" s="186">
        <f t="shared" si="17"/>
        <v>272047.403989257</v>
      </c>
      <c r="P405" s="186">
        <f t="shared" si="18"/>
        <v>84374.360187697239</v>
      </c>
      <c r="Q405" s="215">
        <f>IF(P405="-",0,P405/(1+'General inputs'!$H$30)^'MP Calculations'!$C$40)</f>
        <v>187419.83863694812</v>
      </c>
    </row>
    <row r="406" spans="3:17" x14ac:dyDescent="0.25">
      <c r="C406" s="159"/>
      <c r="D406" s="165" t="s">
        <v>325</v>
      </c>
      <c r="E406" s="162">
        <v>31413</v>
      </c>
      <c r="F406" s="166" t="str">
        <f t="shared" si="16"/>
        <v>Date check - OK</v>
      </c>
      <c r="G406" s="68"/>
      <c r="H406" s="162" t="s">
        <v>279</v>
      </c>
      <c r="I406" s="173">
        <v>89592.114709699614</v>
      </c>
      <c r="J406" s="168">
        <f>IFERROR(MIN('MP Calculations'!$E$30/I406,1),"-")</f>
        <v>0.31014580161562261</v>
      </c>
      <c r="K406" s="12"/>
      <c r="L406" s="159">
        <v>171.38332199999999</v>
      </c>
      <c r="M406" s="187" t="s">
        <v>408</v>
      </c>
      <c r="N406" s="187">
        <v>1538.878561</v>
      </c>
      <c r="O406" s="186">
        <f t="shared" si="17"/>
        <v>263738.11993875966</v>
      </c>
      <c r="P406" s="186">
        <f t="shared" si="18"/>
        <v>81797.270625003832</v>
      </c>
      <c r="Q406" s="215">
        <f>IF(P406="-",0,P406/(1+'General inputs'!$H$30)^'MP Calculations'!$C$40)</f>
        <v>181695.37792496764</v>
      </c>
    </row>
    <row r="407" spans="3:17" x14ac:dyDescent="0.25">
      <c r="C407" s="159"/>
      <c r="D407" s="165" t="s">
        <v>325</v>
      </c>
      <c r="E407" s="162">
        <v>31413</v>
      </c>
      <c r="F407" s="166" t="str">
        <f t="shared" ref="F407:F470" si="19">IF(E407="","-",IF(OR(E407&lt;$E$15,E407&gt;$E$16),"ERROR - date outside of range","Date check - OK"))</f>
        <v>Date check - OK</v>
      </c>
      <c r="G407" s="68"/>
      <c r="H407" s="162" t="s">
        <v>279</v>
      </c>
      <c r="I407" s="173">
        <v>89592.114709699614</v>
      </c>
      <c r="J407" s="168">
        <f>IFERROR(MIN('MP Calculations'!$E$30/I407,1),"-")</f>
        <v>0.31014580161562261</v>
      </c>
      <c r="K407" s="12"/>
      <c r="L407" s="159">
        <v>79.451390000000004</v>
      </c>
      <c r="M407" s="187" t="s">
        <v>408</v>
      </c>
      <c r="N407" s="187">
        <v>1538.878561</v>
      </c>
      <c r="O407" s="186">
        <f t="shared" ref="O407:O470" si="20">IF(N407="","-",L407*N407)</f>
        <v>122266.04071264979</v>
      </c>
      <c r="P407" s="186">
        <f t="shared" ref="P407:P470" si="21">IF(O407="-","-",IF(OR(E407&lt;$E$15,E407&gt;$E$16),0,O407*J407))</f>
        <v>37920.299207193115</v>
      </c>
      <c r="Q407" s="215">
        <f>IF(P407="-",0,P407/(1+'General inputs'!$H$30)^'MP Calculations'!$C$40)</f>
        <v>84231.943716868758</v>
      </c>
    </row>
    <row r="408" spans="3:17" x14ac:dyDescent="0.25">
      <c r="C408" s="159"/>
      <c r="D408" s="165" t="s">
        <v>325</v>
      </c>
      <c r="E408" s="162">
        <v>31413</v>
      </c>
      <c r="F408" s="166" t="str">
        <f t="shared" si="19"/>
        <v>Date check - OK</v>
      </c>
      <c r="G408" s="68"/>
      <c r="H408" s="162" t="s">
        <v>279</v>
      </c>
      <c r="I408" s="173">
        <v>89592.114709699614</v>
      </c>
      <c r="J408" s="168">
        <f>IFERROR(MIN('MP Calculations'!$E$30/I408,1),"-")</f>
        <v>0.31014580161562261</v>
      </c>
      <c r="K408" s="12"/>
      <c r="L408" s="159">
        <v>48.364221000000001</v>
      </c>
      <c r="M408" s="187" t="s">
        <v>408</v>
      </c>
      <c r="N408" s="187">
        <v>1538.878561</v>
      </c>
      <c r="O408" s="186">
        <f t="shared" si="20"/>
        <v>74426.662816365977</v>
      </c>
      <c r="P408" s="186">
        <f t="shared" si="21"/>
        <v>23083.117000757476</v>
      </c>
      <c r="Q408" s="215">
        <f>IF(P408="-",0,P408/(1+'General inputs'!$H$30)^'MP Calculations'!$C$40)</f>
        <v>51274.274008072127</v>
      </c>
    </row>
    <row r="409" spans="3:17" x14ac:dyDescent="0.25">
      <c r="C409" s="159"/>
      <c r="D409" s="165" t="s">
        <v>325</v>
      </c>
      <c r="E409" s="162">
        <v>31413</v>
      </c>
      <c r="F409" s="166" t="str">
        <f t="shared" si="19"/>
        <v>Date check - OK</v>
      </c>
      <c r="G409" s="68"/>
      <c r="H409" s="162" t="s">
        <v>279</v>
      </c>
      <c r="I409" s="173">
        <v>89592.114709699614</v>
      </c>
      <c r="J409" s="168">
        <f>IFERROR(MIN('MP Calculations'!$E$30/I409,1),"-")</f>
        <v>0.31014580161562261</v>
      </c>
      <c r="K409" s="12"/>
      <c r="L409" s="159">
        <v>2.77359</v>
      </c>
      <c r="M409" s="187" t="s">
        <v>408</v>
      </c>
      <c r="N409" s="187">
        <v>1538.878561</v>
      </c>
      <c r="O409" s="186">
        <f t="shared" si="20"/>
        <v>4268.2181880039898</v>
      </c>
      <c r="P409" s="186">
        <f t="shared" si="21"/>
        <v>1323.7699513888776</v>
      </c>
      <c r="Q409" s="215">
        <f>IF(P409="-",0,P409/(1+'General inputs'!$H$30)^'MP Calculations'!$C$40)</f>
        <v>2940.475638924253</v>
      </c>
    </row>
    <row r="410" spans="3:17" x14ac:dyDescent="0.25">
      <c r="C410" s="159"/>
      <c r="D410" s="165" t="s">
        <v>306</v>
      </c>
      <c r="E410" s="162">
        <v>31413</v>
      </c>
      <c r="F410" s="166" t="str">
        <f t="shared" si="19"/>
        <v>Date check - OK</v>
      </c>
      <c r="G410" s="68"/>
      <c r="H410" s="162" t="s">
        <v>279</v>
      </c>
      <c r="I410" s="173">
        <v>89592.114709699614</v>
      </c>
      <c r="J410" s="168">
        <f>IFERROR(MIN('MP Calculations'!$E$30/I410,1),"-")</f>
        <v>0.31014580161562261</v>
      </c>
      <c r="K410" s="12"/>
      <c r="L410" s="159">
        <v>130.67166700000001</v>
      </c>
      <c r="M410" s="187" t="s">
        <v>408</v>
      </c>
      <c r="N410" s="187">
        <v>1362.548726</v>
      </c>
      <c r="O410" s="186">
        <f t="shared" si="20"/>
        <v>178046.51339514626</v>
      </c>
      <c r="P410" s="186">
        <f t="shared" si="21"/>
        <v>55220.378621804324</v>
      </c>
      <c r="Q410" s="215">
        <f>IF(P410="-",0,P410/(1+'General inputs'!$H$30)^'MP Calculations'!$C$40)</f>
        <v>122660.4199160352</v>
      </c>
    </row>
    <row r="411" spans="3:17" x14ac:dyDescent="0.25">
      <c r="C411" s="159"/>
      <c r="D411" s="165" t="s">
        <v>281</v>
      </c>
      <c r="E411" s="162">
        <v>31413</v>
      </c>
      <c r="F411" s="166" t="str">
        <f t="shared" si="19"/>
        <v>Date check - OK</v>
      </c>
      <c r="G411" s="68"/>
      <c r="H411" s="162" t="s">
        <v>279</v>
      </c>
      <c r="I411" s="173">
        <v>89592.114709699614</v>
      </c>
      <c r="J411" s="168">
        <f>IFERROR(MIN('MP Calculations'!$E$30/I411,1),"-")</f>
        <v>0.31014580161562261</v>
      </c>
      <c r="K411" s="12"/>
      <c r="L411" s="159">
        <v>12.530150000000001</v>
      </c>
      <c r="M411" s="187" t="s">
        <v>408</v>
      </c>
      <c r="N411" s="187">
        <v>657.22938499999998</v>
      </c>
      <c r="O411" s="186">
        <f t="shared" si="20"/>
        <v>8235.1827784577508</v>
      </c>
      <c r="P411" s="186">
        <f t="shared" si="21"/>
        <v>2554.1073642759493</v>
      </c>
      <c r="Q411" s="215">
        <f>IF(P411="-",0,P411/(1+'General inputs'!$H$30)^'MP Calculations'!$C$40)</f>
        <v>5673.4106073119347</v>
      </c>
    </row>
    <row r="412" spans="3:17" x14ac:dyDescent="0.25">
      <c r="C412" s="159"/>
      <c r="D412" s="165" t="s">
        <v>293</v>
      </c>
      <c r="E412" s="162">
        <v>31413</v>
      </c>
      <c r="F412" s="166" t="str">
        <f t="shared" si="19"/>
        <v>Date check - OK</v>
      </c>
      <c r="G412" s="68"/>
      <c r="H412" s="162" t="s">
        <v>279</v>
      </c>
      <c r="I412" s="173">
        <v>89592.114709699614</v>
      </c>
      <c r="J412" s="168">
        <f>IFERROR(MIN('MP Calculations'!$E$30/I412,1),"-")</f>
        <v>0.31014580161562261</v>
      </c>
      <c r="K412" s="12"/>
      <c r="L412" s="159">
        <v>40.684592000000002</v>
      </c>
      <c r="M412" s="187" t="s">
        <v>408</v>
      </c>
      <c r="N412" s="187">
        <v>1009.889055</v>
      </c>
      <c r="O412" s="186">
        <f t="shared" si="20"/>
        <v>41086.92416794056</v>
      </c>
      <c r="P412" s="186">
        <f t="shared" si="21"/>
        <v>12742.937031986223</v>
      </c>
      <c r="Q412" s="215">
        <f>IF(P412="-",0,P412/(1+'General inputs'!$H$30)^'MP Calculations'!$C$40)</f>
        <v>28305.745927823787</v>
      </c>
    </row>
    <row r="413" spans="3:17" x14ac:dyDescent="0.25">
      <c r="C413" s="159"/>
      <c r="D413" s="165" t="s">
        <v>294</v>
      </c>
      <c r="E413" s="162">
        <v>31413</v>
      </c>
      <c r="F413" s="166" t="str">
        <f t="shared" si="19"/>
        <v>Date check - OK</v>
      </c>
      <c r="G413" s="68"/>
      <c r="H413" s="162" t="s">
        <v>279</v>
      </c>
      <c r="I413" s="173">
        <v>89592.114709699614</v>
      </c>
      <c r="J413" s="168">
        <f>IFERROR(MIN('MP Calculations'!$E$30/I413,1),"-")</f>
        <v>0.31014580161562261</v>
      </c>
      <c r="K413" s="12"/>
      <c r="L413" s="159">
        <v>25.383710000000001</v>
      </c>
      <c r="M413" s="187" t="s">
        <v>408</v>
      </c>
      <c r="N413" s="187">
        <v>1186.218891</v>
      </c>
      <c r="O413" s="186">
        <f t="shared" si="20"/>
        <v>30110.636325665611</v>
      </c>
      <c r="P413" s="186">
        <f t="shared" si="21"/>
        <v>9338.6874403800466</v>
      </c>
      <c r="Q413" s="215">
        <f>IF(P413="-",0,P413/(1+'General inputs'!$H$30)^'MP Calculations'!$C$40)</f>
        <v>20743.923737772297</v>
      </c>
    </row>
    <row r="414" spans="3:17" x14ac:dyDescent="0.25">
      <c r="C414" s="159"/>
      <c r="D414" s="165" t="s">
        <v>306</v>
      </c>
      <c r="E414" s="162">
        <v>31413</v>
      </c>
      <c r="F414" s="166" t="str">
        <f t="shared" si="19"/>
        <v>Date check - OK</v>
      </c>
      <c r="G414" s="68"/>
      <c r="H414" s="162" t="s">
        <v>279</v>
      </c>
      <c r="I414" s="173">
        <v>89592.114709699614</v>
      </c>
      <c r="J414" s="168">
        <f>IFERROR(MIN('MP Calculations'!$E$30/I414,1),"-")</f>
        <v>0.31014580161562261</v>
      </c>
      <c r="K414" s="12"/>
      <c r="L414" s="159">
        <v>62.877428999999999</v>
      </c>
      <c r="M414" s="187" t="s">
        <v>408</v>
      </c>
      <c r="N414" s="187">
        <v>1362.548726</v>
      </c>
      <c r="O414" s="186">
        <f t="shared" si="20"/>
        <v>85673.560778105457</v>
      </c>
      <c r="P414" s="186">
        <f t="shared" si="21"/>
        <v>26571.29518479028</v>
      </c>
      <c r="Q414" s="215">
        <f>IF(P414="-",0,P414/(1+'General inputs'!$H$30)^'MP Calculations'!$C$40)</f>
        <v>59022.525857733861</v>
      </c>
    </row>
    <row r="415" spans="3:17" x14ac:dyDescent="0.25">
      <c r="C415" s="159"/>
      <c r="D415" s="165" t="s">
        <v>293</v>
      </c>
      <c r="E415" s="162">
        <v>31413</v>
      </c>
      <c r="F415" s="166" t="str">
        <f t="shared" si="19"/>
        <v>Date check - OK</v>
      </c>
      <c r="G415" s="68"/>
      <c r="H415" s="162" t="s">
        <v>279</v>
      </c>
      <c r="I415" s="173">
        <v>89592.114709699614</v>
      </c>
      <c r="J415" s="168">
        <f>IFERROR(MIN('MP Calculations'!$E$30/I415,1),"-")</f>
        <v>0.31014580161562261</v>
      </c>
      <c r="K415" s="12"/>
      <c r="L415" s="159">
        <v>40.019474000000002</v>
      </c>
      <c r="M415" s="187" t="s">
        <v>408</v>
      </c>
      <c r="N415" s="187">
        <v>1009.889055</v>
      </c>
      <c r="O415" s="186">
        <f t="shared" si="20"/>
        <v>40415.228779457073</v>
      </c>
      <c r="P415" s="186">
        <f t="shared" si="21"/>
        <v>12534.613527283494</v>
      </c>
      <c r="Q415" s="215">
        <f>IF(P415="-",0,P415/(1+'General inputs'!$H$30)^'MP Calculations'!$C$40)</f>
        <v>27842.999217225773</v>
      </c>
    </row>
    <row r="416" spans="3:17" x14ac:dyDescent="0.25">
      <c r="C416" s="159"/>
      <c r="D416" s="165" t="s">
        <v>306</v>
      </c>
      <c r="E416" s="162">
        <v>31413</v>
      </c>
      <c r="F416" s="166" t="str">
        <f t="shared" si="19"/>
        <v>Date check - OK</v>
      </c>
      <c r="G416" s="68"/>
      <c r="H416" s="162" t="s">
        <v>279</v>
      </c>
      <c r="I416" s="173">
        <v>89592.114709699614</v>
      </c>
      <c r="J416" s="168">
        <f>IFERROR(MIN('MP Calculations'!$E$30/I416,1),"-")</f>
        <v>0.31014580161562261</v>
      </c>
      <c r="K416" s="12"/>
      <c r="L416" s="159">
        <v>133.68391500000001</v>
      </c>
      <c r="M416" s="187" t="s">
        <v>408</v>
      </c>
      <c r="N416" s="187">
        <v>1362.548726</v>
      </c>
      <c r="O416" s="186">
        <f t="shared" si="20"/>
        <v>182150.84806994229</v>
      </c>
      <c r="P416" s="186">
        <f t="shared" si="21"/>
        <v>56493.320789617734</v>
      </c>
      <c r="Q416" s="215">
        <f>IF(P416="-",0,P416/(1+'General inputs'!$H$30)^'MP Calculations'!$C$40)</f>
        <v>125487.99235812578</v>
      </c>
    </row>
    <row r="417" spans="3:17" x14ac:dyDescent="0.25">
      <c r="C417" s="159"/>
      <c r="D417" s="165" t="s">
        <v>293</v>
      </c>
      <c r="E417" s="162">
        <v>31413</v>
      </c>
      <c r="F417" s="166" t="str">
        <f t="shared" si="19"/>
        <v>Date check - OK</v>
      </c>
      <c r="G417" s="68"/>
      <c r="H417" s="162" t="s">
        <v>279</v>
      </c>
      <c r="I417" s="173">
        <v>89592.114709699614</v>
      </c>
      <c r="J417" s="168">
        <f>IFERROR(MIN('MP Calculations'!$E$30/I417,1),"-")</f>
        <v>0.31014580161562261</v>
      </c>
      <c r="K417" s="12"/>
      <c r="L417" s="159">
        <v>63.287585999999997</v>
      </c>
      <c r="M417" s="187" t="s">
        <v>408</v>
      </c>
      <c r="N417" s="187">
        <v>1009.889055</v>
      </c>
      <c r="O417" s="186">
        <f t="shared" si="20"/>
        <v>63913.440418771228</v>
      </c>
      <c r="P417" s="186">
        <f t="shared" si="21"/>
        <v>19822.485212692136</v>
      </c>
      <c r="Q417" s="215">
        <f>IF(P417="-",0,P417/(1+'General inputs'!$H$30)^'MP Calculations'!$C$40)</f>
        <v>44031.468466030026</v>
      </c>
    </row>
    <row r="418" spans="3:17" x14ac:dyDescent="0.25">
      <c r="C418" s="159"/>
      <c r="D418" s="165" t="s">
        <v>293</v>
      </c>
      <c r="E418" s="162">
        <v>31413</v>
      </c>
      <c r="F418" s="166" t="str">
        <f t="shared" si="19"/>
        <v>Date check - OK</v>
      </c>
      <c r="G418" s="68"/>
      <c r="H418" s="162" t="s">
        <v>279</v>
      </c>
      <c r="I418" s="173">
        <v>89592.114709699614</v>
      </c>
      <c r="J418" s="168">
        <f>IFERROR(MIN('MP Calculations'!$E$30/I418,1),"-")</f>
        <v>0.31014580161562261</v>
      </c>
      <c r="K418" s="12"/>
      <c r="L418" s="159">
        <v>130.51863299999999</v>
      </c>
      <c r="M418" s="187" t="s">
        <v>408</v>
      </c>
      <c r="N418" s="187">
        <v>1009.889055</v>
      </c>
      <c r="O418" s="186">
        <f t="shared" si="20"/>
        <v>131809.3389402618</v>
      </c>
      <c r="P418" s="186">
        <f t="shared" si="21"/>
        <v>40880.113086052799</v>
      </c>
      <c r="Q418" s="215">
        <f>IF(P418="-",0,P418/(1+'General inputs'!$H$30)^'MP Calculations'!$C$40)</f>
        <v>90806.545744513729</v>
      </c>
    </row>
    <row r="419" spans="3:17" x14ac:dyDescent="0.25">
      <c r="C419" s="159"/>
      <c r="D419" s="165" t="s">
        <v>293</v>
      </c>
      <c r="E419" s="162">
        <v>31413</v>
      </c>
      <c r="F419" s="166" t="str">
        <f t="shared" si="19"/>
        <v>Date check - OK</v>
      </c>
      <c r="G419" s="68"/>
      <c r="H419" s="162" t="s">
        <v>279</v>
      </c>
      <c r="I419" s="173">
        <v>89592.114709699614</v>
      </c>
      <c r="J419" s="168">
        <f>IFERROR(MIN('MP Calculations'!$E$30/I419,1),"-")</f>
        <v>0.31014580161562261</v>
      </c>
      <c r="K419" s="12"/>
      <c r="L419" s="159">
        <v>143.55390399999999</v>
      </c>
      <c r="M419" s="187" t="s">
        <v>408</v>
      </c>
      <c r="N419" s="187">
        <v>1009.889055</v>
      </c>
      <c r="O419" s="186">
        <f t="shared" si="20"/>
        <v>144973.5164521207</v>
      </c>
      <c r="P419" s="186">
        <f t="shared" si="21"/>
        <v>44962.927473078627</v>
      </c>
      <c r="Q419" s="215">
        <f>IF(P419="-",0,P419/(1+'General inputs'!$H$30)^'MP Calculations'!$C$40)</f>
        <v>99875.656454197844</v>
      </c>
    </row>
    <row r="420" spans="3:17" x14ac:dyDescent="0.25">
      <c r="C420" s="159"/>
      <c r="D420" s="165" t="s">
        <v>287</v>
      </c>
      <c r="E420" s="162">
        <v>31413</v>
      </c>
      <c r="F420" s="166" t="str">
        <f t="shared" si="19"/>
        <v>Date check - OK</v>
      </c>
      <c r="G420" s="68"/>
      <c r="H420" s="162" t="s">
        <v>279</v>
      </c>
      <c r="I420" s="173">
        <v>89592.114709699614</v>
      </c>
      <c r="J420" s="168">
        <f>IFERROR(MIN('MP Calculations'!$E$30/I420,1),"-")</f>
        <v>0.31014580161562261</v>
      </c>
      <c r="K420" s="12"/>
      <c r="L420" s="159">
        <v>1.1500440000000001</v>
      </c>
      <c r="M420" s="187" t="s">
        <v>408</v>
      </c>
      <c r="N420" s="187">
        <v>833.55921999999998</v>
      </c>
      <c r="O420" s="186">
        <f t="shared" si="20"/>
        <v>958.62977960568003</v>
      </c>
      <c r="P420" s="186">
        <f t="shared" si="21"/>
        <v>297.31500144841124</v>
      </c>
      <c r="Q420" s="215">
        <f>IF(P420="-",0,P420/(1+'General inputs'!$H$30)^'MP Calculations'!$C$40)</f>
        <v>660.42254390843073</v>
      </c>
    </row>
    <row r="421" spans="3:17" x14ac:dyDescent="0.25">
      <c r="C421" s="159"/>
      <c r="D421" s="165" t="s">
        <v>287</v>
      </c>
      <c r="E421" s="162">
        <v>31413</v>
      </c>
      <c r="F421" s="166" t="str">
        <f t="shared" si="19"/>
        <v>Date check - OK</v>
      </c>
      <c r="G421" s="68"/>
      <c r="H421" s="162" t="s">
        <v>279</v>
      </c>
      <c r="I421" s="173">
        <v>89592.114709699614</v>
      </c>
      <c r="J421" s="168">
        <f>IFERROR(MIN('MP Calculations'!$E$30/I421,1),"-")</f>
        <v>0.31014580161562261</v>
      </c>
      <c r="K421" s="12"/>
      <c r="L421" s="159">
        <v>55.946860999999998</v>
      </c>
      <c r="M421" s="187" t="s">
        <v>408</v>
      </c>
      <c r="N421" s="187">
        <v>833.55921999999998</v>
      </c>
      <c r="O421" s="186">
        <f t="shared" si="20"/>
        <v>46635.021816608416</v>
      </c>
      <c r="P421" s="186">
        <f t="shared" si="21"/>
        <v>14463.656224674067</v>
      </c>
      <c r="Q421" s="215">
        <f>IF(P421="-",0,P421/(1+'General inputs'!$H$30)^'MP Calculations'!$C$40)</f>
        <v>32127.960552214849</v>
      </c>
    </row>
    <row r="422" spans="3:17" x14ac:dyDescent="0.25">
      <c r="C422" s="159"/>
      <c r="D422" s="165" t="s">
        <v>287</v>
      </c>
      <c r="E422" s="162">
        <v>31413</v>
      </c>
      <c r="F422" s="166" t="str">
        <f t="shared" si="19"/>
        <v>Date check - OK</v>
      </c>
      <c r="G422" s="68"/>
      <c r="H422" s="162" t="s">
        <v>279</v>
      </c>
      <c r="I422" s="173">
        <v>89592.114709699614</v>
      </c>
      <c r="J422" s="168">
        <f>IFERROR(MIN('MP Calculations'!$E$30/I422,1),"-")</f>
        <v>0.31014580161562261</v>
      </c>
      <c r="K422" s="12"/>
      <c r="L422" s="159">
        <v>108.573986</v>
      </c>
      <c r="M422" s="187" t="s">
        <v>408</v>
      </c>
      <c r="N422" s="187">
        <v>833.55921999999998</v>
      </c>
      <c r="O422" s="186">
        <f t="shared" si="20"/>
        <v>90502.847082450928</v>
      </c>
      <c r="P422" s="186">
        <f t="shared" si="21"/>
        <v>28069.078056882856</v>
      </c>
      <c r="Q422" s="215">
        <f>IF(P422="-",0,P422/(1+'General inputs'!$H$30)^'MP Calculations'!$C$40)</f>
        <v>62349.534484244396</v>
      </c>
    </row>
    <row r="423" spans="3:17" x14ac:dyDescent="0.25">
      <c r="C423" s="159"/>
      <c r="D423" s="165" t="s">
        <v>287</v>
      </c>
      <c r="E423" s="162">
        <v>31413</v>
      </c>
      <c r="F423" s="166" t="str">
        <f t="shared" si="19"/>
        <v>Date check - OK</v>
      </c>
      <c r="G423" s="68"/>
      <c r="H423" s="162" t="s">
        <v>279</v>
      </c>
      <c r="I423" s="173">
        <v>89592.114709699614</v>
      </c>
      <c r="J423" s="168">
        <f>IFERROR(MIN('MP Calculations'!$E$30/I423,1),"-")</f>
        <v>0.31014580161562261</v>
      </c>
      <c r="K423" s="12"/>
      <c r="L423" s="159">
        <v>71.932644999999994</v>
      </c>
      <c r="M423" s="187" t="s">
        <v>408</v>
      </c>
      <c r="N423" s="187">
        <v>833.55921999999998</v>
      </c>
      <c r="O423" s="186">
        <f t="shared" si="20"/>
        <v>59960.119458736895</v>
      </c>
      <c r="P423" s="186">
        <f t="shared" si="21"/>
        <v>18596.379314498445</v>
      </c>
      <c r="Q423" s="215">
        <f>IF(P423="-",0,P423/(1+'General inputs'!$H$30)^'MP Calculations'!$C$40)</f>
        <v>41307.932914707664</v>
      </c>
    </row>
    <row r="424" spans="3:17" x14ac:dyDescent="0.25">
      <c r="C424" s="159"/>
      <c r="D424" s="165" t="s">
        <v>287</v>
      </c>
      <c r="E424" s="162">
        <v>31413</v>
      </c>
      <c r="F424" s="166" t="str">
        <f t="shared" si="19"/>
        <v>Date check - OK</v>
      </c>
      <c r="G424" s="68"/>
      <c r="H424" s="162" t="s">
        <v>279</v>
      </c>
      <c r="I424" s="173">
        <v>89592.114709699614</v>
      </c>
      <c r="J424" s="168">
        <f>IFERROR(MIN('MP Calculations'!$E$30/I424,1),"-")</f>
        <v>0.31014580161562261</v>
      </c>
      <c r="K424" s="12"/>
      <c r="L424" s="159">
        <v>18.038314</v>
      </c>
      <c r="M424" s="187" t="s">
        <v>408</v>
      </c>
      <c r="N424" s="187">
        <v>833.55921999999998</v>
      </c>
      <c r="O424" s="186">
        <f t="shared" si="20"/>
        <v>15036.002947955079</v>
      </c>
      <c r="P424" s="186">
        <f t="shared" si="21"/>
        <v>4663.3531873883931</v>
      </c>
      <c r="Q424" s="215">
        <f>IF(P424="-",0,P424/(1+'General inputs'!$H$30)^'MP Calculations'!$C$40)</f>
        <v>10358.655164236379</v>
      </c>
    </row>
    <row r="425" spans="3:17" x14ac:dyDescent="0.25">
      <c r="C425" s="159"/>
      <c r="D425" s="165" t="s">
        <v>287</v>
      </c>
      <c r="E425" s="162">
        <v>31413</v>
      </c>
      <c r="F425" s="166" t="str">
        <f t="shared" si="19"/>
        <v>Date check - OK</v>
      </c>
      <c r="G425" s="68"/>
      <c r="H425" s="162" t="s">
        <v>279</v>
      </c>
      <c r="I425" s="173">
        <v>89592.114709699614</v>
      </c>
      <c r="J425" s="168">
        <f>IFERROR(MIN('MP Calculations'!$E$30/I425,1),"-")</f>
        <v>0.31014580161562261</v>
      </c>
      <c r="K425" s="12"/>
      <c r="L425" s="159">
        <v>8.1977969999999996</v>
      </c>
      <c r="M425" s="187" t="s">
        <v>408</v>
      </c>
      <c r="N425" s="187">
        <v>833.55921999999998</v>
      </c>
      <c r="O425" s="186">
        <f t="shared" si="20"/>
        <v>6833.3492730383396</v>
      </c>
      <c r="P425" s="186">
        <f t="shared" si="21"/>
        <v>2119.3345880060078</v>
      </c>
      <c r="Q425" s="215">
        <f>IF(P425="-",0,P425/(1+'General inputs'!$H$30)^'MP Calculations'!$C$40)</f>
        <v>4707.6546194623006</v>
      </c>
    </row>
    <row r="426" spans="3:17" x14ac:dyDescent="0.25">
      <c r="C426" s="159"/>
      <c r="D426" s="165" t="s">
        <v>325</v>
      </c>
      <c r="E426" s="162">
        <v>31413</v>
      </c>
      <c r="F426" s="166" t="str">
        <f t="shared" si="19"/>
        <v>Date check - OK</v>
      </c>
      <c r="G426" s="68"/>
      <c r="H426" s="162" t="s">
        <v>279</v>
      </c>
      <c r="I426" s="173">
        <v>89592.114709699614</v>
      </c>
      <c r="J426" s="168">
        <f>IFERROR(MIN('MP Calculations'!$E$30/I426,1),"-")</f>
        <v>0.31014580161562261</v>
      </c>
      <c r="K426" s="12"/>
      <c r="L426" s="159">
        <v>48.065136000000003</v>
      </c>
      <c r="M426" s="187" t="s">
        <v>408</v>
      </c>
      <c r="N426" s="187">
        <v>1538.878561</v>
      </c>
      <c r="O426" s="186">
        <f t="shared" si="20"/>
        <v>73966.4073219493</v>
      </c>
      <c r="P426" s="186">
        <f t="shared" si="21"/>
        <v>22940.370691493623</v>
      </c>
      <c r="Q426" s="215">
        <f>IF(P426="-",0,P426/(1+'General inputs'!$H$30)^'MP Calculations'!$C$40)</f>
        <v>50957.193200718611</v>
      </c>
    </row>
    <row r="427" spans="3:17" x14ac:dyDescent="0.25">
      <c r="C427" s="159"/>
      <c r="D427" s="165" t="s">
        <v>326</v>
      </c>
      <c r="E427" s="162">
        <v>31413</v>
      </c>
      <c r="F427" s="166" t="str">
        <f t="shared" si="19"/>
        <v>Date check - OK</v>
      </c>
      <c r="G427" s="68"/>
      <c r="H427" s="162" t="s">
        <v>279</v>
      </c>
      <c r="I427" s="173">
        <v>89592.114709699614</v>
      </c>
      <c r="J427" s="168">
        <f>IFERROR(MIN('MP Calculations'!$E$30/I427,1),"-")</f>
        <v>0.31014580161562261</v>
      </c>
      <c r="K427" s="12"/>
      <c r="L427" s="159">
        <v>17.761240000000001</v>
      </c>
      <c r="M427" s="187" t="s">
        <v>408</v>
      </c>
      <c r="N427" s="187">
        <v>1715.208396</v>
      </c>
      <c r="O427" s="186">
        <f t="shared" si="20"/>
        <v>30464.227971371041</v>
      </c>
      <c r="P427" s="186">
        <f t="shared" si="21"/>
        <v>9448.3524047819446</v>
      </c>
      <c r="Q427" s="215">
        <f>IF(P427="-",0,P427/(1+'General inputs'!$H$30)^'MP Calculations'!$C$40)</f>
        <v>20987.521317494473</v>
      </c>
    </row>
    <row r="428" spans="3:17" x14ac:dyDescent="0.25">
      <c r="C428" s="159"/>
      <c r="D428" s="165" t="s">
        <v>306</v>
      </c>
      <c r="E428" s="162">
        <v>31413</v>
      </c>
      <c r="F428" s="166" t="str">
        <f t="shared" si="19"/>
        <v>Date check - OK</v>
      </c>
      <c r="G428" s="68"/>
      <c r="H428" s="162" t="s">
        <v>279</v>
      </c>
      <c r="I428" s="173">
        <v>89592.114709699614</v>
      </c>
      <c r="J428" s="168">
        <f>IFERROR(MIN('MP Calculations'!$E$30/I428,1),"-")</f>
        <v>0.31014580161562261</v>
      </c>
      <c r="K428" s="12"/>
      <c r="L428" s="159">
        <v>91.887394999999998</v>
      </c>
      <c r="M428" s="187" t="s">
        <v>408</v>
      </c>
      <c r="N428" s="187">
        <v>1362.548726</v>
      </c>
      <c r="O428" s="186">
        <f t="shared" si="20"/>
        <v>125201.05299270876</v>
      </c>
      <c r="P428" s="186">
        <f t="shared" si="21"/>
        <v>38830.580943543704</v>
      </c>
      <c r="Q428" s="215">
        <f>IF(P428="-",0,P428/(1+'General inputs'!$H$30)^'MP Calculations'!$C$40)</f>
        <v>86253.942529795633</v>
      </c>
    </row>
    <row r="429" spans="3:17" x14ac:dyDescent="0.25">
      <c r="C429" s="159"/>
      <c r="D429" s="165" t="s">
        <v>287</v>
      </c>
      <c r="E429" s="162">
        <v>31413</v>
      </c>
      <c r="F429" s="166" t="str">
        <f t="shared" si="19"/>
        <v>Date check - OK</v>
      </c>
      <c r="G429" s="68"/>
      <c r="H429" s="162" t="s">
        <v>279</v>
      </c>
      <c r="I429" s="173">
        <v>89592.114709699614</v>
      </c>
      <c r="J429" s="168">
        <f>IFERROR(MIN('MP Calculations'!$E$30/I429,1),"-")</f>
        <v>0.31014580161562261</v>
      </c>
      <c r="K429" s="12"/>
      <c r="L429" s="159">
        <v>2.0002499999999999</v>
      </c>
      <c r="M429" s="187" t="s">
        <v>408</v>
      </c>
      <c r="N429" s="187">
        <v>833.55921999999998</v>
      </c>
      <c r="O429" s="186">
        <f t="shared" si="20"/>
        <v>1667.3268298049998</v>
      </c>
      <c r="P429" s="186">
        <f t="shared" si="21"/>
        <v>517.11441618510639</v>
      </c>
      <c r="Q429" s="215">
        <f>IF(P429="-",0,P429/(1+'General inputs'!$H$30)^'MP Calculations'!$C$40)</f>
        <v>1148.6605672938065</v>
      </c>
    </row>
    <row r="430" spans="3:17" x14ac:dyDescent="0.25">
      <c r="C430" s="159"/>
      <c r="D430" s="165" t="s">
        <v>325</v>
      </c>
      <c r="E430" s="162">
        <v>31413</v>
      </c>
      <c r="F430" s="166" t="str">
        <f t="shared" si="19"/>
        <v>Date check - OK</v>
      </c>
      <c r="G430" s="68"/>
      <c r="H430" s="162" t="s">
        <v>279</v>
      </c>
      <c r="I430" s="173">
        <v>89592.114709699614</v>
      </c>
      <c r="J430" s="168">
        <f>IFERROR(MIN('MP Calculations'!$E$30/I430,1),"-")</f>
        <v>0.31014580161562261</v>
      </c>
      <c r="K430" s="12"/>
      <c r="L430" s="159">
        <v>177.81474399999999</v>
      </c>
      <c r="M430" s="187" t="s">
        <v>408</v>
      </c>
      <c r="N430" s="187">
        <v>1538.878561</v>
      </c>
      <c r="O430" s="186">
        <f t="shared" si="20"/>
        <v>273635.29737130337</v>
      </c>
      <c r="P430" s="186">
        <f t="shared" si="21"/>
        <v>84866.838653552157</v>
      </c>
      <c r="Q430" s="215">
        <f>IF(P430="-",0,P430/(1+'General inputs'!$H$30)^'MP Calculations'!$C$40)</f>
        <v>188513.77563863172</v>
      </c>
    </row>
    <row r="431" spans="3:17" x14ac:dyDescent="0.25">
      <c r="C431" s="159"/>
      <c r="D431" s="165" t="s">
        <v>287</v>
      </c>
      <c r="E431" s="162">
        <v>31413</v>
      </c>
      <c r="F431" s="166" t="str">
        <f t="shared" si="19"/>
        <v>Date check - OK</v>
      </c>
      <c r="G431" s="68"/>
      <c r="H431" s="162" t="s">
        <v>279</v>
      </c>
      <c r="I431" s="173">
        <v>89592.114709699614</v>
      </c>
      <c r="J431" s="168">
        <f>IFERROR(MIN('MP Calculations'!$E$30/I431,1),"-")</f>
        <v>0.31014580161562261</v>
      </c>
      <c r="K431" s="12"/>
      <c r="L431" s="159">
        <v>26.994368999999999</v>
      </c>
      <c r="M431" s="187" t="s">
        <v>408</v>
      </c>
      <c r="N431" s="187">
        <v>833.55921999999998</v>
      </c>
      <c r="O431" s="186">
        <f t="shared" si="20"/>
        <v>22501.405168032179</v>
      </c>
      <c r="P431" s="186">
        <f t="shared" si="21"/>
        <v>6978.7163433172536</v>
      </c>
      <c r="Q431" s="215">
        <f>IF(P431="-",0,P431/(1+'General inputs'!$H$30)^'MP Calculations'!$C$40)</f>
        <v>15501.745886403374</v>
      </c>
    </row>
    <row r="432" spans="3:17" x14ac:dyDescent="0.25">
      <c r="C432" s="159"/>
      <c r="D432" s="165" t="s">
        <v>318</v>
      </c>
      <c r="E432" s="162">
        <v>31413</v>
      </c>
      <c r="F432" s="166" t="str">
        <f t="shared" si="19"/>
        <v>Date check - OK</v>
      </c>
      <c r="G432" s="68"/>
      <c r="H432" s="162" t="s">
        <v>279</v>
      </c>
      <c r="I432" s="173">
        <v>89592.114709699614</v>
      </c>
      <c r="J432" s="168">
        <f>IFERROR(MIN('MP Calculations'!$E$30/I432,1),"-")</f>
        <v>0.31014580161562261</v>
      </c>
      <c r="K432" s="12"/>
      <c r="L432" s="159">
        <v>43.636788000000003</v>
      </c>
      <c r="M432" s="187" t="s">
        <v>408</v>
      </c>
      <c r="N432" s="187">
        <v>1186.218891</v>
      </c>
      <c r="O432" s="186">
        <f t="shared" si="20"/>
        <v>51762.782268162111</v>
      </c>
      <c r="P432" s="186">
        <f t="shared" si="21"/>
        <v>16054.009600414074</v>
      </c>
      <c r="Q432" s="215">
        <f>IF(P432="-",0,P432/(1+'General inputs'!$H$30)^'MP Calculations'!$C$40)</f>
        <v>35660.595020717512</v>
      </c>
    </row>
    <row r="433" spans="3:17" x14ac:dyDescent="0.25">
      <c r="C433" s="159"/>
      <c r="D433" s="165" t="s">
        <v>287</v>
      </c>
      <c r="E433" s="162">
        <v>31413</v>
      </c>
      <c r="F433" s="166" t="str">
        <f t="shared" si="19"/>
        <v>Date check - OK</v>
      </c>
      <c r="G433" s="68"/>
      <c r="H433" s="162" t="s">
        <v>279</v>
      </c>
      <c r="I433" s="173">
        <v>89592.114709699614</v>
      </c>
      <c r="J433" s="168">
        <f>IFERROR(MIN('MP Calculations'!$E$30/I433,1),"-")</f>
        <v>0.31014580161562261</v>
      </c>
      <c r="K433" s="12"/>
      <c r="L433" s="159">
        <v>9.4070630000000008</v>
      </c>
      <c r="M433" s="187" t="s">
        <v>408</v>
      </c>
      <c r="N433" s="187">
        <v>833.55921999999998</v>
      </c>
      <c r="O433" s="186">
        <f t="shared" si="20"/>
        <v>7841.3440967708602</v>
      </c>
      <c r="P433" s="186">
        <f t="shared" si="21"/>
        <v>2431.9599506369286</v>
      </c>
      <c r="Q433" s="215">
        <f>IF(P433="-",0,P433/(1+'General inputs'!$H$30)^'MP Calculations'!$C$40)</f>
        <v>5402.0859003367477</v>
      </c>
    </row>
    <row r="434" spans="3:17" x14ac:dyDescent="0.25">
      <c r="C434" s="159"/>
      <c r="D434" s="165" t="s">
        <v>287</v>
      </c>
      <c r="E434" s="162">
        <v>31413</v>
      </c>
      <c r="F434" s="166" t="str">
        <f t="shared" si="19"/>
        <v>Date check - OK</v>
      </c>
      <c r="G434" s="68"/>
      <c r="H434" s="162" t="s">
        <v>279</v>
      </c>
      <c r="I434" s="173">
        <v>89592.114709699614</v>
      </c>
      <c r="J434" s="168">
        <f>IFERROR(MIN('MP Calculations'!$E$30/I434,1),"-")</f>
        <v>0.31014580161562261</v>
      </c>
      <c r="K434" s="12"/>
      <c r="L434" s="159">
        <v>33.367336999999999</v>
      </c>
      <c r="M434" s="187" t="s">
        <v>408</v>
      </c>
      <c r="N434" s="187">
        <v>833.55921999999998</v>
      </c>
      <c r="O434" s="186">
        <f t="shared" si="20"/>
        <v>27813.651403197138</v>
      </c>
      <c r="P434" s="186">
        <f t="shared" si="21"/>
        <v>8626.2872103020636</v>
      </c>
      <c r="Q434" s="215">
        <f>IF(P434="-",0,P434/(1+'General inputs'!$H$30)^'MP Calculations'!$C$40)</f>
        <v>19161.476939134423</v>
      </c>
    </row>
    <row r="435" spans="3:17" x14ac:dyDescent="0.25">
      <c r="C435" s="159"/>
      <c r="D435" s="165" t="s">
        <v>281</v>
      </c>
      <c r="E435" s="162">
        <v>31413</v>
      </c>
      <c r="F435" s="166" t="str">
        <f t="shared" si="19"/>
        <v>Date check - OK</v>
      </c>
      <c r="G435" s="68"/>
      <c r="H435" s="162" t="s">
        <v>279</v>
      </c>
      <c r="I435" s="173">
        <v>89592.114709699614</v>
      </c>
      <c r="J435" s="168">
        <f>IFERROR(MIN('MP Calculations'!$E$30/I435,1),"-")</f>
        <v>0.31014580161562261</v>
      </c>
      <c r="K435" s="12"/>
      <c r="L435" s="159">
        <v>5.3479200000000002</v>
      </c>
      <c r="M435" s="187" t="s">
        <v>408</v>
      </c>
      <c r="N435" s="187">
        <v>657.22938499999998</v>
      </c>
      <c r="O435" s="186">
        <f t="shared" si="20"/>
        <v>3514.8101726292002</v>
      </c>
      <c r="P435" s="186">
        <f t="shared" si="21"/>
        <v>1090.1036185168282</v>
      </c>
      <c r="Q435" s="215">
        <f>IF(P435="-",0,P435/(1+'General inputs'!$H$30)^'MP Calculations'!$C$40)</f>
        <v>2421.4351827436735</v>
      </c>
    </row>
    <row r="436" spans="3:17" x14ac:dyDescent="0.25">
      <c r="C436" s="159"/>
      <c r="D436" s="165" t="s">
        <v>326</v>
      </c>
      <c r="E436" s="162">
        <v>31413</v>
      </c>
      <c r="F436" s="166" t="str">
        <f t="shared" si="19"/>
        <v>Date check - OK</v>
      </c>
      <c r="G436" s="68"/>
      <c r="H436" s="162" t="s">
        <v>279</v>
      </c>
      <c r="I436" s="173">
        <v>89592.114709699614</v>
      </c>
      <c r="J436" s="168">
        <f>IFERROR(MIN('MP Calculations'!$E$30/I436,1),"-")</f>
        <v>0.31014580161562261</v>
      </c>
      <c r="K436" s="12"/>
      <c r="L436" s="159">
        <v>129.90328</v>
      </c>
      <c r="M436" s="187" t="s">
        <v>408</v>
      </c>
      <c r="N436" s="187">
        <v>1715.208396</v>
      </c>
      <c r="O436" s="186">
        <f t="shared" si="20"/>
        <v>222811.19652393888</v>
      </c>
      <c r="P436" s="186">
        <f t="shared" si="21"/>
        <v>69103.957154853051</v>
      </c>
      <c r="Q436" s="215">
        <f>IF(P436="-",0,P436/(1+'General inputs'!$H$30)^'MP Calculations'!$C$40)</f>
        <v>153499.86026946618</v>
      </c>
    </row>
    <row r="437" spans="3:17" x14ac:dyDescent="0.25">
      <c r="C437" s="159"/>
      <c r="D437" s="165" t="s">
        <v>283</v>
      </c>
      <c r="E437" s="162">
        <v>31413</v>
      </c>
      <c r="F437" s="166" t="str">
        <f t="shared" si="19"/>
        <v>Date check - OK</v>
      </c>
      <c r="G437" s="68"/>
      <c r="H437" s="162" t="s">
        <v>279</v>
      </c>
      <c r="I437" s="173">
        <v>89592.114709699614</v>
      </c>
      <c r="J437" s="168">
        <f>IFERROR(MIN('MP Calculations'!$E$30/I437,1),"-")</f>
        <v>0.31014580161562261</v>
      </c>
      <c r="K437" s="12"/>
      <c r="L437" s="159">
        <v>55.990836000000002</v>
      </c>
      <c r="M437" s="187" t="s">
        <v>408</v>
      </c>
      <c r="N437" s="187">
        <v>480.89954999999998</v>
      </c>
      <c r="O437" s="186">
        <f t="shared" si="20"/>
        <v>26925.9678365238</v>
      </c>
      <c r="P437" s="186">
        <f t="shared" si="21"/>
        <v>8350.9758789351454</v>
      </c>
      <c r="Q437" s="215">
        <f>IF(P437="-",0,P437/(1+'General inputs'!$H$30)^'MP Calculations'!$C$40)</f>
        <v>18549.930905660203</v>
      </c>
    </row>
    <row r="438" spans="3:17" x14ac:dyDescent="0.25">
      <c r="C438" s="159"/>
      <c r="D438" s="165" t="s">
        <v>306</v>
      </c>
      <c r="E438" s="162">
        <v>31413</v>
      </c>
      <c r="F438" s="166" t="str">
        <f t="shared" si="19"/>
        <v>Date check - OK</v>
      </c>
      <c r="G438" s="68"/>
      <c r="H438" s="162" t="s">
        <v>279</v>
      </c>
      <c r="I438" s="173">
        <v>89592.114709699614</v>
      </c>
      <c r="J438" s="168">
        <f>IFERROR(MIN('MP Calculations'!$E$30/I438,1),"-")</f>
        <v>0.31014580161562261</v>
      </c>
      <c r="K438" s="12"/>
      <c r="L438" s="159">
        <v>70.661896999999996</v>
      </c>
      <c r="M438" s="187" t="s">
        <v>408</v>
      </c>
      <c r="N438" s="187">
        <v>1362.548726</v>
      </c>
      <c r="O438" s="186">
        <f t="shared" si="20"/>
        <v>96280.277734093223</v>
      </c>
      <c r="P438" s="186">
        <f t="shared" si="21"/>
        <v>29860.923917615124</v>
      </c>
      <c r="Q438" s="215">
        <f>IF(P438="-",0,P438/(1+'General inputs'!$H$30)^'MP Calculations'!$C$40)</f>
        <v>66329.741994365366</v>
      </c>
    </row>
    <row r="439" spans="3:17" x14ac:dyDescent="0.25">
      <c r="C439" s="159"/>
      <c r="D439" s="165" t="s">
        <v>293</v>
      </c>
      <c r="E439" s="162">
        <v>31413</v>
      </c>
      <c r="F439" s="166" t="str">
        <f t="shared" si="19"/>
        <v>Date check - OK</v>
      </c>
      <c r="G439" s="68"/>
      <c r="H439" s="162" t="s">
        <v>279</v>
      </c>
      <c r="I439" s="173">
        <v>89592.114709699614</v>
      </c>
      <c r="J439" s="168">
        <f>IFERROR(MIN('MP Calculations'!$E$30/I439,1),"-")</f>
        <v>0.31014580161562261</v>
      </c>
      <c r="K439" s="12"/>
      <c r="L439" s="159">
        <v>89.186656999999997</v>
      </c>
      <c r="M439" s="187" t="s">
        <v>408</v>
      </c>
      <c r="N439" s="187">
        <v>1009.889055</v>
      </c>
      <c r="O439" s="186">
        <f t="shared" si="20"/>
        <v>90068.628756339123</v>
      </c>
      <c r="P439" s="186">
        <f t="shared" si="21"/>
        <v>27934.407066054715</v>
      </c>
      <c r="Q439" s="215">
        <f>IF(P439="-",0,P439/(1+'General inputs'!$H$30)^'MP Calculations'!$C$40)</f>
        <v>62050.391292948603</v>
      </c>
    </row>
    <row r="440" spans="3:17" x14ac:dyDescent="0.25">
      <c r="C440" s="159"/>
      <c r="D440" s="165" t="s">
        <v>293</v>
      </c>
      <c r="E440" s="162">
        <v>31413</v>
      </c>
      <c r="F440" s="166" t="str">
        <f t="shared" si="19"/>
        <v>Date check - OK</v>
      </c>
      <c r="G440" s="68"/>
      <c r="H440" s="162" t="s">
        <v>279</v>
      </c>
      <c r="I440" s="173">
        <v>89592.114709699614</v>
      </c>
      <c r="J440" s="168">
        <f>IFERROR(MIN('MP Calculations'!$E$30/I440,1),"-")</f>
        <v>0.31014580161562261</v>
      </c>
      <c r="K440" s="12"/>
      <c r="L440" s="159">
        <v>49.677382000000001</v>
      </c>
      <c r="M440" s="187" t="s">
        <v>408</v>
      </c>
      <c r="N440" s="187">
        <v>1009.889055</v>
      </c>
      <c r="O440" s="186">
        <f t="shared" si="20"/>
        <v>50168.644362854007</v>
      </c>
      <c r="P440" s="186">
        <f t="shared" si="21"/>
        <v>15559.594421886442</v>
      </c>
      <c r="Q440" s="215">
        <f>IF(P440="-",0,P440/(1+'General inputs'!$H$30)^'MP Calculations'!$C$40)</f>
        <v>34562.356020467072</v>
      </c>
    </row>
    <row r="441" spans="3:17" x14ac:dyDescent="0.25">
      <c r="C441" s="159"/>
      <c r="D441" s="165" t="s">
        <v>283</v>
      </c>
      <c r="E441" s="162">
        <v>31413</v>
      </c>
      <c r="F441" s="166" t="str">
        <f t="shared" si="19"/>
        <v>Date check - OK</v>
      </c>
      <c r="G441" s="68"/>
      <c r="H441" s="162" t="s">
        <v>279</v>
      </c>
      <c r="I441" s="173">
        <v>89592.114709699614</v>
      </c>
      <c r="J441" s="168">
        <f>IFERROR(MIN('MP Calculations'!$E$30/I441,1),"-")</f>
        <v>0.31014580161562261</v>
      </c>
      <c r="K441" s="12"/>
      <c r="L441" s="159">
        <v>25.735658999999998</v>
      </c>
      <c r="M441" s="187" t="s">
        <v>408</v>
      </c>
      <c r="N441" s="187">
        <v>480.89954999999998</v>
      </c>
      <c r="O441" s="186">
        <f t="shared" si="20"/>
        <v>12376.266832053449</v>
      </c>
      <c r="P441" s="186">
        <f t="shared" si="21"/>
        <v>3838.4471976360587</v>
      </c>
      <c r="Q441" s="215">
        <f>IF(P441="-",0,P441/(1+'General inputs'!$H$30)^'MP Calculations'!$C$40)</f>
        <v>8526.3005585705505</v>
      </c>
    </row>
    <row r="442" spans="3:17" x14ac:dyDescent="0.25">
      <c r="C442" s="159"/>
      <c r="D442" s="165" t="s">
        <v>293</v>
      </c>
      <c r="E442" s="162">
        <v>31413</v>
      </c>
      <c r="F442" s="166" t="str">
        <f t="shared" si="19"/>
        <v>Date check - OK</v>
      </c>
      <c r="G442" s="68"/>
      <c r="H442" s="162" t="s">
        <v>279</v>
      </c>
      <c r="I442" s="173">
        <v>89592.114709699614</v>
      </c>
      <c r="J442" s="168">
        <f>IFERROR(MIN('MP Calculations'!$E$30/I442,1),"-")</f>
        <v>0.31014580161562261</v>
      </c>
      <c r="K442" s="12"/>
      <c r="L442" s="159">
        <v>55.501970999999998</v>
      </c>
      <c r="M442" s="187" t="s">
        <v>408</v>
      </c>
      <c r="N442" s="187">
        <v>1009.889055</v>
      </c>
      <c r="O442" s="186">
        <f t="shared" si="20"/>
        <v>56050.833043827399</v>
      </c>
      <c r="P442" s="186">
        <f t="shared" si="21"/>
        <v>17383.930545601277</v>
      </c>
      <c r="Q442" s="215">
        <f>IF(P442="-",0,P442/(1+'General inputs'!$H$30)^'MP Calculations'!$C$40)</f>
        <v>38614.733794539316</v>
      </c>
    </row>
    <row r="443" spans="3:17" x14ac:dyDescent="0.25">
      <c r="C443" s="159"/>
      <c r="D443" s="165" t="s">
        <v>293</v>
      </c>
      <c r="E443" s="162">
        <v>31413</v>
      </c>
      <c r="F443" s="166" t="str">
        <f t="shared" si="19"/>
        <v>Date check - OK</v>
      </c>
      <c r="G443" s="68"/>
      <c r="H443" s="162" t="s">
        <v>279</v>
      </c>
      <c r="I443" s="173">
        <v>89592.114709699614</v>
      </c>
      <c r="J443" s="168">
        <f>IFERROR(MIN('MP Calculations'!$E$30/I443,1),"-")</f>
        <v>0.31014580161562261</v>
      </c>
      <c r="K443" s="12"/>
      <c r="L443" s="159">
        <v>112.368788</v>
      </c>
      <c r="M443" s="187" t="s">
        <v>408</v>
      </c>
      <c r="N443" s="187">
        <v>1009.889055</v>
      </c>
      <c r="O443" s="186">
        <f t="shared" si="20"/>
        <v>113480.00912481533</v>
      </c>
      <c r="P443" s="186">
        <f t="shared" si="21"/>
        <v>35195.348397364018</v>
      </c>
      <c r="Q443" s="215">
        <f>IF(P443="-",0,P443/(1+'General inputs'!$H$30)^'MP Calculations'!$C$40)</f>
        <v>78179.040442275887</v>
      </c>
    </row>
    <row r="444" spans="3:17" x14ac:dyDescent="0.25">
      <c r="C444" s="159"/>
      <c r="D444" s="165" t="s">
        <v>293</v>
      </c>
      <c r="E444" s="162">
        <v>31413</v>
      </c>
      <c r="F444" s="166" t="str">
        <f t="shared" si="19"/>
        <v>Date check - OK</v>
      </c>
      <c r="G444" s="68"/>
      <c r="H444" s="162" t="s">
        <v>279</v>
      </c>
      <c r="I444" s="173">
        <v>89592.114709699614</v>
      </c>
      <c r="J444" s="168">
        <f>IFERROR(MIN('MP Calculations'!$E$30/I444,1),"-")</f>
        <v>0.31014580161562261</v>
      </c>
      <c r="K444" s="12"/>
      <c r="L444" s="159">
        <v>69.32029</v>
      </c>
      <c r="M444" s="187" t="s">
        <v>408</v>
      </c>
      <c r="N444" s="187">
        <v>1009.889055</v>
      </c>
      <c r="O444" s="186">
        <f t="shared" si="20"/>
        <v>70005.802160425956</v>
      </c>
      <c r="P444" s="186">
        <f t="shared" si="21"/>
        <v>21712.005628789993</v>
      </c>
      <c r="Q444" s="215">
        <f>IF(P444="-",0,P444/(1+'General inputs'!$H$30)^'MP Calculations'!$C$40)</f>
        <v>48228.639392108547</v>
      </c>
    </row>
    <row r="445" spans="3:17" x14ac:dyDescent="0.25">
      <c r="C445" s="159"/>
      <c r="D445" s="165" t="s">
        <v>293</v>
      </c>
      <c r="E445" s="162">
        <v>31413</v>
      </c>
      <c r="F445" s="166" t="str">
        <f t="shared" si="19"/>
        <v>Date check - OK</v>
      </c>
      <c r="G445" s="68"/>
      <c r="H445" s="162" t="s">
        <v>279</v>
      </c>
      <c r="I445" s="173">
        <v>89592.114709699614</v>
      </c>
      <c r="J445" s="168">
        <f>IFERROR(MIN('MP Calculations'!$E$30/I445,1),"-")</f>
        <v>0.31014580161562261</v>
      </c>
      <c r="K445" s="12"/>
      <c r="L445" s="159">
        <v>23.096591</v>
      </c>
      <c r="M445" s="187" t="s">
        <v>408</v>
      </c>
      <c r="N445" s="187">
        <v>1009.889055</v>
      </c>
      <c r="O445" s="186">
        <f t="shared" si="20"/>
        <v>23324.994458711506</v>
      </c>
      <c r="P445" s="186">
        <f t="shared" si="21"/>
        <v>7234.1491040770352</v>
      </c>
      <c r="Q445" s="215">
        <f>IF(P445="-",0,P445/(1+'General inputs'!$H$30)^'MP Calculations'!$C$40)</f>
        <v>16069.135869541509</v>
      </c>
    </row>
    <row r="446" spans="3:17" x14ac:dyDescent="0.25">
      <c r="C446" s="159"/>
      <c r="D446" s="165" t="s">
        <v>293</v>
      </c>
      <c r="E446" s="162">
        <v>31413</v>
      </c>
      <c r="F446" s="166" t="str">
        <f t="shared" si="19"/>
        <v>Date check - OK</v>
      </c>
      <c r="G446" s="68"/>
      <c r="H446" s="162" t="s">
        <v>279</v>
      </c>
      <c r="I446" s="173">
        <v>89592.114709699614</v>
      </c>
      <c r="J446" s="168">
        <f>IFERROR(MIN('MP Calculations'!$E$30/I446,1),"-")</f>
        <v>0.31014580161562261</v>
      </c>
      <c r="K446" s="12"/>
      <c r="L446" s="159">
        <v>42.950975</v>
      </c>
      <c r="M446" s="187" t="s">
        <v>408</v>
      </c>
      <c r="N446" s="187">
        <v>1009.889055</v>
      </c>
      <c r="O446" s="186">
        <f t="shared" si="20"/>
        <v>43375.719554078627</v>
      </c>
      <c r="P446" s="186">
        <f t="shared" si="21"/>
        <v>13452.797311754151</v>
      </c>
      <c r="Q446" s="215">
        <f>IF(P446="-",0,P446/(1+'General inputs'!$H$30)^'MP Calculations'!$C$40)</f>
        <v>29882.55076276324</v>
      </c>
    </row>
    <row r="447" spans="3:17" x14ac:dyDescent="0.25">
      <c r="C447" s="159"/>
      <c r="D447" s="165" t="s">
        <v>293</v>
      </c>
      <c r="E447" s="162">
        <v>31413</v>
      </c>
      <c r="F447" s="166" t="str">
        <f t="shared" si="19"/>
        <v>Date check - OK</v>
      </c>
      <c r="G447" s="68"/>
      <c r="H447" s="162" t="s">
        <v>279</v>
      </c>
      <c r="I447" s="173">
        <v>89592.114709699614</v>
      </c>
      <c r="J447" s="168">
        <f>IFERROR(MIN('MP Calculations'!$E$30/I447,1),"-")</f>
        <v>0.31014580161562261</v>
      </c>
      <c r="K447" s="12"/>
      <c r="L447" s="159">
        <v>44.989474999999999</v>
      </c>
      <c r="M447" s="187" t="s">
        <v>408</v>
      </c>
      <c r="N447" s="187">
        <v>1009.889055</v>
      </c>
      <c r="O447" s="186">
        <f t="shared" si="20"/>
        <v>45434.378392696126</v>
      </c>
      <c r="P447" s="186">
        <f t="shared" si="21"/>
        <v>14091.281707510263</v>
      </c>
      <c r="Q447" s="215">
        <f>IF(P447="-",0,P447/(1+'General inputs'!$H$30)^'MP Calculations'!$C$40)</f>
        <v>31300.809131284397</v>
      </c>
    </row>
    <row r="448" spans="3:17" x14ac:dyDescent="0.25">
      <c r="C448" s="159"/>
      <c r="D448" s="165" t="s">
        <v>293</v>
      </c>
      <c r="E448" s="162">
        <v>31413</v>
      </c>
      <c r="F448" s="166" t="str">
        <f t="shared" si="19"/>
        <v>Date check - OK</v>
      </c>
      <c r="G448" s="68"/>
      <c r="H448" s="162" t="s">
        <v>279</v>
      </c>
      <c r="I448" s="173">
        <v>89592.114709699614</v>
      </c>
      <c r="J448" s="168">
        <f>IFERROR(MIN('MP Calculations'!$E$30/I448,1),"-")</f>
        <v>0.31014580161562261</v>
      </c>
      <c r="K448" s="12"/>
      <c r="L448" s="159">
        <v>28.494021</v>
      </c>
      <c r="M448" s="187" t="s">
        <v>408</v>
      </c>
      <c r="N448" s="187">
        <v>1009.889055</v>
      </c>
      <c r="O448" s="186">
        <f t="shared" si="20"/>
        <v>28775.799940840156</v>
      </c>
      <c r="P448" s="186">
        <f t="shared" si="21"/>
        <v>8924.6935397826564</v>
      </c>
      <c r="Q448" s="215">
        <f>IF(P448="-",0,P448/(1+'General inputs'!$H$30)^'MP Calculations'!$C$40)</f>
        <v>19824.32363800221</v>
      </c>
    </row>
    <row r="449" spans="3:17" x14ac:dyDescent="0.25">
      <c r="C449" s="159"/>
      <c r="D449" s="165" t="s">
        <v>325</v>
      </c>
      <c r="E449" s="162">
        <v>31413</v>
      </c>
      <c r="F449" s="166" t="str">
        <f t="shared" si="19"/>
        <v>Date check - OK</v>
      </c>
      <c r="G449" s="68"/>
      <c r="H449" s="162" t="s">
        <v>279</v>
      </c>
      <c r="I449" s="173">
        <v>89592.114709699614</v>
      </c>
      <c r="J449" s="168">
        <f>IFERROR(MIN('MP Calculations'!$E$30/I449,1),"-")</f>
        <v>0.31014580161562261</v>
      </c>
      <c r="K449" s="12"/>
      <c r="L449" s="159">
        <v>13.163563999999999</v>
      </c>
      <c r="M449" s="187" t="s">
        <v>408</v>
      </c>
      <c r="N449" s="187">
        <v>1538.878561</v>
      </c>
      <c r="O449" s="186">
        <f t="shared" si="20"/>
        <v>20257.126425951403</v>
      </c>
      <c r="P449" s="186">
        <f t="shared" si="21"/>
        <v>6282.6627138057102</v>
      </c>
      <c r="Q449" s="215">
        <f>IF(P449="-",0,P449/(1+'General inputs'!$H$30)^'MP Calculations'!$C$40)</f>
        <v>13955.609611882181</v>
      </c>
    </row>
    <row r="450" spans="3:17" x14ac:dyDescent="0.25">
      <c r="C450" s="159"/>
      <c r="D450" s="165" t="s">
        <v>325</v>
      </c>
      <c r="E450" s="162">
        <v>31413</v>
      </c>
      <c r="F450" s="166" t="str">
        <f t="shared" si="19"/>
        <v>Date check - OK</v>
      </c>
      <c r="G450" s="68"/>
      <c r="H450" s="162" t="s">
        <v>279</v>
      </c>
      <c r="I450" s="173">
        <v>89592.114709699614</v>
      </c>
      <c r="J450" s="168">
        <f>IFERROR(MIN('MP Calculations'!$E$30/I450,1),"-")</f>
        <v>0.31014580161562261</v>
      </c>
      <c r="K450" s="12"/>
      <c r="L450" s="159">
        <v>7.272481</v>
      </c>
      <c r="M450" s="187" t="s">
        <v>408</v>
      </c>
      <c r="N450" s="187">
        <v>1538.878561</v>
      </c>
      <c r="O450" s="186">
        <f t="shared" si="20"/>
        <v>11191.465096179842</v>
      </c>
      <c r="P450" s="186">
        <f t="shared" si="21"/>
        <v>3470.9859135079578</v>
      </c>
      <c r="Q450" s="215">
        <f>IF(P450="-",0,P450/(1+'General inputs'!$H$30)^'MP Calculations'!$C$40)</f>
        <v>7710.0628481641097</v>
      </c>
    </row>
    <row r="451" spans="3:17" x14ac:dyDescent="0.25">
      <c r="C451" s="159"/>
      <c r="D451" s="165" t="s">
        <v>325</v>
      </c>
      <c r="E451" s="162">
        <v>31413</v>
      </c>
      <c r="F451" s="166" t="str">
        <f t="shared" si="19"/>
        <v>Date check - OK</v>
      </c>
      <c r="G451" s="68"/>
      <c r="H451" s="162" t="s">
        <v>279</v>
      </c>
      <c r="I451" s="173">
        <v>89592.114709699614</v>
      </c>
      <c r="J451" s="168">
        <f>IFERROR(MIN('MP Calculations'!$E$30/I451,1),"-")</f>
        <v>0.31014580161562261</v>
      </c>
      <c r="K451" s="12"/>
      <c r="L451" s="159">
        <v>12.83841</v>
      </c>
      <c r="M451" s="187" t="s">
        <v>408</v>
      </c>
      <c r="N451" s="187">
        <v>1538.878561</v>
      </c>
      <c r="O451" s="186">
        <f t="shared" si="20"/>
        <v>19756.753906328009</v>
      </c>
      <c r="P451" s="186">
        <f t="shared" si="21"/>
        <v>6127.4742776006833</v>
      </c>
      <c r="Q451" s="215">
        <f>IF(P451="-",0,P451/(1+'General inputs'!$H$30)^'MP Calculations'!$C$40)</f>
        <v>13610.891244748329</v>
      </c>
    </row>
    <row r="452" spans="3:17" x14ac:dyDescent="0.25">
      <c r="C452" s="159"/>
      <c r="D452" s="165" t="s">
        <v>325</v>
      </c>
      <c r="E452" s="162">
        <v>31413</v>
      </c>
      <c r="F452" s="166" t="str">
        <f t="shared" si="19"/>
        <v>Date check - OK</v>
      </c>
      <c r="G452" s="68"/>
      <c r="H452" s="162" t="s">
        <v>279</v>
      </c>
      <c r="I452" s="173">
        <v>89592.114709699614</v>
      </c>
      <c r="J452" s="168">
        <f>IFERROR(MIN('MP Calculations'!$E$30/I452,1),"-")</f>
        <v>0.31014580161562261</v>
      </c>
      <c r="K452" s="12"/>
      <c r="L452" s="159">
        <v>113.20666900000001</v>
      </c>
      <c r="M452" s="187" t="s">
        <v>408</v>
      </c>
      <c r="N452" s="187">
        <v>1538.878561</v>
      </c>
      <c r="O452" s="186">
        <f t="shared" si="20"/>
        <v>174211.31588632331</v>
      </c>
      <c r="P452" s="186">
        <f t="shared" si="21"/>
        <v>54030.90821607619</v>
      </c>
      <c r="Q452" s="215">
        <f>IF(P452="-",0,P452/(1+'General inputs'!$H$30)^'MP Calculations'!$C$40)</f>
        <v>120018.26238134023</v>
      </c>
    </row>
    <row r="453" spans="3:17" x14ac:dyDescent="0.25">
      <c r="C453" s="159"/>
      <c r="D453" s="165" t="s">
        <v>325</v>
      </c>
      <c r="E453" s="162">
        <v>31413</v>
      </c>
      <c r="F453" s="166" t="str">
        <f t="shared" si="19"/>
        <v>Date check - OK</v>
      </c>
      <c r="G453" s="68"/>
      <c r="H453" s="162" t="s">
        <v>279</v>
      </c>
      <c r="I453" s="173">
        <v>89592.114709699614</v>
      </c>
      <c r="J453" s="168">
        <f>IFERROR(MIN('MP Calculations'!$E$30/I453,1),"-")</f>
        <v>0.31014580161562261</v>
      </c>
      <c r="K453" s="12"/>
      <c r="L453" s="159">
        <v>123.048106</v>
      </c>
      <c r="M453" s="187" t="s">
        <v>408</v>
      </c>
      <c r="N453" s="187">
        <v>1538.878561</v>
      </c>
      <c r="O453" s="186">
        <f t="shared" si="20"/>
        <v>189356.09229505548</v>
      </c>
      <c r="P453" s="186">
        <f t="shared" si="21"/>
        <v>58727.997035651802</v>
      </c>
      <c r="Q453" s="215">
        <f>IF(P453="-",0,P453/(1+'General inputs'!$H$30)^'MP Calculations'!$C$40)</f>
        <v>130451.85413445004</v>
      </c>
    </row>
    <row r="454" spans="3:17" x14ac:dyDescent="0.25">
      <c r="C454" s="159"/>
      <c r="D454" s="165" t="s">
        <v>325</v>
      </c>
      <c r="E454" s="162">
        <v>31413</v>
      </c>
      <c r="F454" s="166" t="str">
        <f t="shared" si="19"/>
        <v>Date check - OK</v>
      </c>
      <c r="G454" s="68"/>
      <c r="H454" s="162" t="s">
        <v>279</v>
      </c>
      <c r="I454" s="173">
        <v>89592.114709699614</v>
      </c>
      <c r="J454" s="168">
        <f>IFERROR(MIN('MP Calculations'!$E$30/I454,1),"-")</f>
        <v>0.31014580161562261</v>
      </c>
      <c r="K454" s="12"/>
      <c r="L454" s="159">
        <v>105.08274</v>
      </c>
      <c r="M454" s="187" t="s">
        <v>408</v>
      </c>
      <c r="N454" s="187">
        <v>1538.878561</v>
      </c>
      <c r="O454" s="186">
        <f t="shared" si="20"/>
        <v>161709.57571713714</v>
      </c>
      <c r="P454" s="186">
        <f t="shared" si="21"/>
        <v>50153.545989713719</v>
      </c>
      <c r="Q454" s="215">
        <f>IF(P454="-",0,P454/(1+'General inputs'!$H$30)^'MP Calculations'!$C$40)</f>
        <v>111405.52029730825</v>
      </c>
    </row>
    <row r="455" spans="3:17" x14ac:dyDescent="0.25">
      <c r="C455" s="159"/>
      <c r="D455" s="165" t="s">
        <v>325</v>
      </c>
      <c r="E455" s="162">
        <v>31413</v>
      </c>
      <c r="F455" s="166" t="str">
        <f t="shared" si="19"/>
        <v>Date check - OK</v>
      </c>
      <c r="G455" s="68"/>
      <c r="H455" s="162" t="s">
        <v>279</v>
      </c>
      <c r="I455" s="173">
        <v>89592.114709699614</v>
      </c>
      <c r="J455" s="168">
        <f>IFERROR(MIN('MP Calculations'!$E$30/I455,1),"-")</f>
        <v>0.31014580161562261</v>
      </c>
      <c r="K455" s="12"/>
      <c r="L455" s="159">
        <v>43.797190000000001</v>
      </c>
      <c r="M455" s="187" t="s">
        <v>408</v>
      </c>
      <c r="N455" s="187">
        <v>1538.878561</v>
      </c>
      <c r="O455" s="186">
        <f t="shared" si="20"/>
        <v>67398.556723043584</v>
      </c>
      <c r="P455" s="186">
        <f t="shared" si="21"/>
        <v>20903.379402604362</v>
      </c>
      <c r="Q455" s="215">
        <f>IF(P455="-",0,P455/(1+'General inputs'!$H$30)^'MP Calculations'!$C$40)</f>
        <v>46432.446846266714</v>
      </c>
    </row>
    <row r="456" spans="3:17" x14ac:dyDescent="0.25">
      <c r="C456" s="159"/>
      <c r="D456" s="165" t="s">
        <v>325</v>
      </c>
      <c r="E456" s="162">
        <v>31413</v>
      </c>
      <c r="F456" s="166" t="str">
        <f t="shared" si="19"/>
        <v>Date check - OK</v>
      </c>
      <c r="G456" s="68"/>
      <c r="H456" s="162" t="s">
        <v>279</v>
      </c>
      <c r="I456" s="173">
        <v>89592.114709699614</v>
      </c>
      <c r="J456" s="168">
        <f>IFERROR(MIN('MP Calculations'!$E$30/I456,1),"-")</f>
        <v>0.31014580161562261</v>
      </c>
      <c r="K456" s="12"/>
      <c r="L456" s="159">
        <v>8.0402339999999999</v>
      </c>
      <c r="M456" s="187" t="s">
        <v>408</v>
      </c>
      <c r="N456" s="187">
        <v>1538.878561</v>
      </c>
      <c r="O456" s="186">
        <f t="shared" si="20"/>
        <v>12372.943728023274</v>
      </c>
      <c r="P456" s="186">
        <f t="shared" si="21"/>
        <v>3837.4165508727683</v>
      </c>
      <c r="Q456" s="215">
        <f>IF(P456="-",0,P456/(1+'General inputs'!$H$30)^'MP Calculations'!$C$40)</f>
        <v>8524.0111942466283</v>
      </c>
    </row>
    <row r="457" spans="3:17" x14ac:dyDescent="0.25">
      <c r="C457" s="159"/>
      <c r="D457" s="165" t="s">
        <v>283</v>
      </c>
      <c r="E457" s="162">
        <v>31413</v>
      </c>
      <c r="F457" s="166" t="str">
        <f t="shared" si="19"/>
        <v>Date check - OK</v>
      </c>
      <c r="G457" s="68"/>
      <c r="H457" s="162" t="s">
        <v>279</v>
      </c>
      <c r="I457" s="173">
        <v>89592.114709699614</v>
      </c>
      <c r="J457" s="168">
        <f>IFERROR(MIN('MP Calculations'!$E$30/I457,1),"-")</f>
        <v>0.31014580161562261</v>
      </c>
      <c r="K457" s="12"/>
      <c r="L457" s="159">
        <v>21.924538999999999</v>
      </c>
      <c r="M457" s="187" t="s">
        <v>408</v>
      </c>
      <c r="N457" s="187">
        <v>480.89954999999998</v>
      </c>
      <c r="O457" s="186">
        <f t="shared" si="20"/>
        <v>10543.500939057449</v>
      </c>
      <c r="P457" s="186">
        <f t="shared" si="21"/>
        <v>3270.0225505790422</v>
      </c>
      <c r="Q457" s="215">
        <f>IF(P457="-",0,P457/(1+'General inputs'!$H$30)^'MP Calculations'!$C$40)</f>
        <v>7263.6651395677045</v>
      </c>
    </row>
    <row r="458" spans="3:17" x14ac:dyDescent="0.25">
      <c r="C458" s="159"/>
      <c r="D458" s="165" t="s">
        <v>283</v>
      </c>
      <c r="E458" s="162">
        <v>31413</v>
      </c>
      <c r="F458" s="166" t="str">
        <f t="shared" si="19"/>
        <v>Date check - OK</v>
      </c>
      <c r="G458" s="68"/>
      <c r="H458" s="162" t="s">
        <v>279</v>
      </c>
      <c r="I458" s="173">
        <v>89592.114709699614</v>
      </c>
      <c r="J458" s="168">
        <f>IFERROR(MIN('MP Calculations'!$E$30/I458,1),"-")</f>
        <v>0.31014580161562261</v>
      </c>
      <c r="K458" s="12"/>
      <c r="L458" s="159">
        <v>8.8242019999999997</v>
      </c>
      <c r="M458" s="187" t="s">
        <v>408</v>
      </c>
      <c r="N458" s="187">
        <v>480.89954999999998</v>
      </c>
      <c r="O458" s="186">
        <f t="shared" si="20"/>
        <v>4243.5547709090997</v>
      </c>
      <c r="P458" s="186">
        <f t="shared" si="21"/>
        <v>1316.1206961234025</v>
      </c>
      <c r="Q458" s="215">
        <f>IF(P458="-",0,P458/(1+'General inputs'!$H$30)^'MP Calculations'!$C$40)</f>
        <v>2923.4844323022535</v>
      </c>
    </row>
    <row r="459" spans="3:17" x14ac:dyDescent="0.25">
      <c r="C459" s="159"/>
      <c r="D459" s="165" t="s">
        <v>283</v>
      </c>
      <c r="E459" s="162">
        <v>31413</v>
      </c>
      <c r="F459" s="166" t="str">
        <f t="shared" si="19"/>
        <v>Date check - OK</v>
      </c>
      <c r="G459" s="68"/>
      <c r="H459" s="162" t="s">
        <v>279</v>
      </c>
      <c r="I459" s="173">
        <v>89592.114709699614</v>
      </c>
      <c r="J459" s="168">
        <f>IFERROR(MIN('MP Calculations'!$E$30/I459,1),"-")</f>
        <v>0.31014580161562261</v>
      </c>
      <c r="K459" s="12"/>
      <c r="L459" s="159">
        <v>8.4494480000000003</v>
      </c>
      <c r="M459" s="187" t="s">
        <v>408</v>
      </c>
      <c r="N459" s="187">
        <v>480.89954999999998</v>
      </c>
      <c r="O459" s="186">
        <f t="shared" si="20"/>
        <v>4063.3357409484001</v>
      </c>
      <c r="P459" s="186">
        <f t="shared" si="21"/>
        <v>1260.2265206098514</v>
      </c>
      <c r="Q459" s="215">
        <f>IF(P459="-",0,P459/(1+'General inputs'!$H$30)^'MP Calculations'!$C$40)</f>
        <v>2799.3273147585937</v>
      </c>
    </row>
    <row r="460" spans="3:17" x14ac:dyDescent="0.25">
      <c r="C460" s="159"/>
      <c r="D460" s="165" t="s">
        <v>327</v>
      </c>
      <c r="E460" s="162">
        <v>31593</v>
      </c>
      <c r="F460" s="166" t="str">
        <f t="shared" si="19"/>
        <v>Date check - OK</v>
      </c>
      <c r="G460" s="68"/>
      <c r="H460" s="162" t="s">
        <v>279</v>
      </c>
      <c r="I460" s="173">
        <v>89592.114709699614</v>
      </c>
      <c r="J460" s="168">
        <f>IFERROR(MIN('MP Calculations'!$E$30/I460,1),"-")</f>
        <v>0.31014580161562261</v>
      </c>
      <c r="K460" s="12"/>
      <c r="L460" s="159">
        <v>1</v>
      </c>
      <c r="M460" s="187" t="s">
        <v>409</v>
      </c>
      <c r="N460" s="187">
        <v>51166.288708</v>
      </c>
      <c r="O460" s="186">
        <f t="shared" si="20"/>
        <v>51166.288708</v>
      </c>
      <c r="P460" s="186">
        <f t="shared" si="21"/>
        <v>15869.009627039039</v>
      </c>
      <c r="Q460" s="215">
        <f>IF(P460="-",0,P460/(1+'General inputs'!$H$30)^'MP Calculations'!$C$40)</f>
        <v>35249.656613828774</v>
      </c>
    </row>
    <row r="461" spans="3:17" x14ac:dyDescent="0.25">
      <c r="C461" s="159"/>
      <c r="D461" s="165" t="s">
        <v>328</v>
      </c>
      <c r="E461" s="162">
        <v>31593</v>
      </c>
      <c r="F461" s="166" t="str">
        <f t="shared" si="19"/>
        <v>Date check - OK</v>
      </c>
      <c r="G461" s="68"/>
      <c r="H461" s="162" t="s">
        <v>279</v>
      </c>
      <c r="I461" s="173">
        <v>89592.114709699614</v>
      </c>
      <c r="J461" s="168">
        <f>IFERROR(MIN('MP Calculations'!$E$30/I461,1),"-")</f>
        <v>0.31014580161562261</v>
      </c>
      <c r="K461" s="12"/>
      <c r="L461" s="159">
        <v>1</v>
      </c>
      <c r="M461" s="187" t="s">
        <v>409</v>
      </c>
      <c r="N461" s="187">
        <v>38584.414434999999</v>
      </c>
      <c r="O461" s="186">
        <f t="shared" si="20"/>
        <v>38584.414434999999</v>
      </c>
      <c r="P461" s="186">
        <f t="shared" si="21"/>
        <v>11966.794144812475</v>
      </c>
      <c r="Q461" s="215">
        <f>IF(P461="-",0,P461/(1+'General inputs'!$H$30)^'MP Calculations'!$C$40)</f>
        <v>26581.708265793262</v>
      </c>
    </row>
    <row r="462" spans="3:17" x14ac:dyDescent="0.25">
      <c r="C462" s="159"/>
      <c r="D462" s="165" t="s">
        <v>329</v>
      </c>
      <c r="E462" s="162">
        <v>31593</v>
      </c>
      <c r="F462" s="166" t="str">
        <f t="shared" si="19"/>
        <v>Date check - OK</v>
      </c>
      <c r="G462" s="68"/>
      <c r="H462" s="162" t="s">
        <v>279</v>
      </c>
      <c r="I462" s="173">
        <v>89592.114709699614</v>
      </c>
      <c r="J462" s="168">
        <f>IFERROR(MIN('MP Calculations'!$E$30/I462,1),"-")</f>
        <v>0.31014580161562261</v>
      </c>
      <c r="K462" s="12"/>
      <c r="L462" s="159">
        <v>1</v>
      </c>
      <c r="M462" s="187" t="s">
        <v>409</v>
      </c>
      <c r="N462" s="187">
        <v>224967.54152999999</v>
      </c>
      <c r="O462" s="186">
        <f t="shared" si="20"/>
        <v>224967.54152999999</v>
      </c>
      <c r="P462" s="186">
        <f t="shared" si="21"/>
        <v>69772.738505317713</v>
      </c>
      <c r="Q462" s="215">
        <f>IF(P462="-",0,P462/(1+'General inputs'!$H$30)^'MP Calculations'!$C$40)</f>
        <v>154985.41693038368</v>
      </c>
    </row>
    <row r="463" spans="3:17" x14ac:dyDescent="0.25">
      <c r="C463" s="159"/>
      <c r="D463" s="165" t="s">
        <v>330</v>
      </c>
      <c r="E463" s="162">
        <v>31593</v>
      </c>
      <c r="F463" s="166" t="str">
        <f t="shared" si="19"/>
        <v>Date check - OK</v>
      </c>
      <c r="G463" s="68"/>
      <c r="H463" s="162" t="s">
        <v>279</v>
      </c>
      <c r="I463" s="173">
        <v>89592.114709699614</v>
      </c>
      <c r="J463" s="168">
        <f>IFERROR(MIN('MP Calculations'!$E$30/I463,1),"-")</f>
        <v>0.31014580161562261</v>
      </c>
      <c r="K463" s="12"/>
      <c r="L463" s="159">
        <v>1</v>
      </c>
      <c r="M463" s="187" t="s">
        <v>409</v>
      </c>
      <c r="N463" s="187">
        <v>61885.327893000001</v>
      </c>
      <c r="O463" s="186">
        <f t="shared" si="20"/>
        <v>61885.327893000001</v>
      </c>
      <c r="P463" s="186">
        <f t="shared" si="21"/>
        <v>19193.474627620133</v>
      </c>
      <c r="Q463" s="215">
        <f>IF(P463="-",0,P463/(1+'General inputs'!$H$30)^'MP Calculations'!$C$40)</f>
        <v>42634.254169022337</v>
      </c>
    </row>
    <row r="464" spans="3:17" x14ac:dyDescent="0.25">
      <c r="C464" s="159"/>
      <c r="D464" s="165" t="s">
        <v>331</v>
      </c>
      <c r="E464" s="162">
        <v>31593</v>
      </c>
      <c r="F464" s="166" t="str">
        <f t="shared" si="19"/>
        <v>Date check - OK</v>
      </c>
      <c r="G464" s="68"/>
      <c r="H464" s="162" t="s">
        <v>279</v>
      </c>
      <c r="I464" s="173">
        <v>89592.114709699614</v>
      </c>
      <c r="J464" s="168">
        <f>IFERROR(MIN('MP Calculations'!$E$30/I464,1),"-")</f>
        <v>0.31014580161562261</v>
      </c>
      <c r="K464" s="12"/>
      <c r="L464" s="159">
        <v>1</v>
      </c>
      <c r="M464" s="187" t="s">
        <v>409</v>
      </c>
      <c r="N464" s="187">
        <v>28996.592376000001</v>
      </c>
      <c r="O464" s="186">
        <f t="shared" si="20"/>
        <v>28996.592376000001</v>
      </c>
      <c r="P464" s="186">
        <f t="shared" si="21"/>
        <v>8993.1713865759702</v>
      </c>
      <c r="Q464" s="215">
        <f>IF(P464="-",0,P464/(1+'General inputs'!$H$30)^'MP Calculations'!$C$40)</f>
        <v>19976.432726209314</v>
      </c>
    </row>
    <row r="465" spans="3:17" x14ac:dyDescent="0.25">
      <c r="C465" s="159"/>
      <c r="D465" s="165" t="s">
        <v>332</v>
      </c>
      <c r="E465" s="162">
        <v>31593</v>
      </c>
      <c r="F465" s="166" t="str">
        <f t="shared" si="19"/>
        <v>Date check - OK</v>
      </c>
      <c r="G465" s="68"/>
      <c r="H465" s="162" t="s">
        <v>279</v>
      </c>
      <c r="I465" s="173">
        <v>89592.114709699614</v>
      </c>
      <c r="J465" s="168">
        <f>IFERROR(MIN('MP Calculations'!$E$30/I465,1),"-")</f>
        <v>0.31014580161562261</v>
      </c>
      <c r="K465" s="12"/>
      <c r="L465" s="159">
        <v>1</v>
      </c>
      <c r="M465" s="187" t="s">
        <v>409</v>
      </c>
      <c r="N465" s="187">
        <v>480572.18</v>
      </c>
      <c r="O465" s="186">
        <f t="shared" si="20"/>
        <v>480572.18</v>
      </c>
      <c r="P465" s="186">
        <f t="shared" si="21"/>
        <v>149047.44400026728</v>
      </c>
      <c r="Q465" s="215">
        <f>IF(P465="-",0,P465/(1+'General inputs'!$H$30)^'MP Calculations'!$C$40)</f>
        <v>331077.44866612717</v>
      </c>
    </row>
    <row r="466" spans="3:17" x14ac:dyDescent="0.25">
      <c r="C466" s="159"/>
      <c r="D466" s="165" t="s">
        <v>333</v>
      </c>
      <c r="E466" s="162">
        <v>31593</v>
      </c>
      <c r="F466" s="166" t="str">
        <f t="shared" si="19"/>
        <v>Date check - OK</v>
      </c>
      <c r="G466" s="68"/>
      <c r="H466" s="162" t="s">
        <v>279</v>
      </c>
      <c r="I466" s="173">
        <v>89592.114709699614</v>
      </c>
      <c r="J466" s="168">
        <f>IFERROR(MIN('MP Calculations'!$E$30/I466,1),"-")</f>
        <v>0.31014580161562261</v>
      </c>
      <c r="K466" s="12"/>
      <c r="L466" s="159">
        <v>1</v>
      </c>
      <c r="M466" s="187" t="s">
        <v>409</v>
      </c>
      <c r="N466" s="187">
        <v>587267.44999999995</v>
      </c>
      <c r="O466" s="186">
        <f t="shared" si="20"/>
        <v>587267.44999999995</v>
      </c>
      <c r="P466" s="186">
        <f t="shared" si="21"/>
        <v>182138.53404301257</v>
      </c>
      <c r="Q466" s="215">
        <f>IF(P466="-",0,P466/(1+'General inputs'!$H$30)^'MP Calculations'!$C$40)</f>
        <v>404582.32316040929</v>
      </c>
    </row>
    <row r="467" spans="3:17" x14ac:dyDescent="0.25">
      <c r="C467" s="159"/>
      <c r="D467" s="165" t="s">
        <v>288</v>
      </c>
      <c r="E467" s="162">
        <v>31744</v>
      </c>
      <c r="F467" s="166" t="str">
        <f t="shared" si="19"/>
        <v>Date check - OK</v>
      </c>
      <c r="G467" s="68"/>
      <c r="H467" s="162" t="s">
        <v>279</v>
      </c>
      <c r="I467" s="173">
        <v>89592.114709699614</v>
      </c>
      <c r="J467" s="168">
        <f>IFERROR(MIN('MP Calculations'!$E$30/I467,1),"-")</f>
        <v>0.31014580161562261</v>
      </c>
      <c r="K467" s="12"/>
      <c r="L467" s="159">
        <v>4.9336229999999999</v>
      </c>
      <c r="M467" s="187" t="s">
        <v>408</v>
      </c>
      <c r="N467" s="187">
        <v>480.89954999999998</v>
      </c>
      <c r="O467" s="186">
        <f t="shared" si="20"/>
        <v>2372.5770805696498</v>
      </c>
      <c r="P467" s="186">
        <f t="shared" si="21"/>
        <v>735.8448205481277</v>
      </c>
      <c r="Q467" s="215">
        <f>IF(P467="-",0,P467/(1+'General inputs'!$H$30)^'MP Calculations'!$C$40)</f>
        <v>1634.5240096893001</v>
      </c>
    </row>
    <row r="468" spans="3:17" x14ac:dyDescent="0.25">
      <c r="C468" s="159"/>
      <c r="D468" s="165" t="s">
        <v>334</v>
      </c>
      <c r="E468" s="162">
        <v>31744</v>
      </c>
      <c r="F468" s="166" t="str">
        <f t="shared" si="19"/>
        <v>Date check - OK</v>
      </c>
      <c r="G468" s="68"/>
      <c r="H468" s="162" t="s">
        <v>279</v>
      </c>
      <c r="I468" s="173">
        <v>89592.114709699614</v>
      </c>
      <c r="J468" s="168">
        <f>IFERROR(MIN('MP Calculations'!$E$30/I468,1),"-")</f>
        <v>0.31014580161562261</v>
      </c>
      <c r="K468" s="12"/>
      <c r="L468" s="159">
        <v>609.26978599999995</v>
      </c>
      <c r="M468" s="187" t="s">
        <v>408</v>
      </c>
      <c r="N468" s="187">
        <v>276.07196399999998</v>
      </c>
      <c r="O468" s="186">
        <f t="shared" si="20"/>
        <v>168202.30642687969</v>
      </c>
      <c r="P468" s="186">
        <f t="shared" si="21"/>
        <v>52167.23916036119</v>
      </c>
      <c r="Q468" s="215">
        <f>IF(P468="-",0,P468/(1+'General inputs'!$H$30)^'MP Calculations'!$C$40)</f>
        <v>115878.51479785918</v>
      </c>
    </row>
    <row r="469" spans="3:17" x14ac:dyDescent="0.25">
      <c r="C469" s="159"/>
      <c r="D469" s="165" t="s">
        <v>313</v>
      </c>
      <c r="E469" s="162">
        <v>31744</v>
      </c>
      <c r="F469" s="166" t="str">
        <f t="shared" si="19"/>
        <v>Date check - OK</v>
      </c>
      <c r="G469" s="68"/>
      <c r="H469" s="162" t="s">
        <v>279</v>
      </c>
      <c r="I469" s="173">
        <v>89592.114709699614</v>
      </c>
      <c r="J469" s="168">
        <f>IFERROR(MIN('MP Calculations'!$E$30/I469,1),"-")</f>
        <v>0.31014580161562261</v>
      </c>
      <c r="K469" s="12"/>
      <c r="L469" s="159">
        <v>85.156065999999996</v>
      </c>
      <c r="M469" s="187" t="s">
        <v>408</v>
      </c>
      <c r="N469" s="187">
        <v>219.07646199999999</v>
      </c>
      <c r="O469" s="186">
        <f t="shared" si="20"/>
        <v>18655.689657118492</v>
      </c>
      <c r="P469" s="186">
        <f t="shared" si="21"/>
        <v>5785.9838233992941</v>
      </c>
      <c r="Q469" s="215">
        <f>IF(P469="-",0,P469/(1+'General inputs'!$H$30)^'MP Calculations'!$C$40)</f>
        <v>12852.342253323624</v>
      </c>
    </row>
    <row r="470" spans="3:17" x14ac:dyDescent="0.25">
      <c r="C470" s="159"/>
      <c r="D470" s="165" t="s">
        <v>334</v>
      </c>
      <c r="E470" s="162">
        <v>31744</v>
      </c>
      <c r="F470" s="166" t="str">
        <f t="shared" si="19"/>
        <v>Date check - OK</v>
      </c>
      <c r="G470" s="68"/>
      <c r="H470" s="162" t="s">
        <v>279</v>
      </c>
      <c r="I470" s="173">
        <v>89592.114709699614</v>
      </c>
      <c r="J470" s="168">
        <f>IFERROR(MIN('MP Calculations'!$E$30/I470,1),"-")</f>
        <v>0.31014580161562261</v>
      </c>
      <c r="K470" s="12"/>
      <c r="L470" s="159">
        <v>4.2833509999999997</v>
      </c>
      <c r="M470" s="187" t="s">
        <v>408</v>
      </c>
      <c r="N470" s="187">
        <v>276.07196399999998</v>
      </c>
      <c r="O470" s="186">
        <f t="shared" si="20"/>
        <v>1182.5131230713639</v>
      </c>
      <c r="P470" s="186">
        <f t="shared" si="21"/>
        <v>366.75148047596156</v>
      </c>
      <c r="Q470" s="215">
        <f>IF(P470="-",0,P470/(1+'General inputs'!$H$30)^'MP Calculations'!$C$40)</f>
        <v>814.66103135783101</v>
      </c>
    </row>
    <row r="471" spans="3:17" x14ac:dyDescent="0.25">
      <c r="C471" s="159"/>
      <c r="D471" s="165" t="s">
        <v>334</v>
      </c>
      <c r="E471" s="162">
        <v>31744</v>
      </c>
      <c r="F471" s="166" t="str">
        <f t="shared" ref="F471:F534" si="22">IF(E471="","-",IF(OR(E471&lt;$E$15,E471&gt;$E$16),"ERROR - date outside of range","Date check - OK"))</f>
        <v>Date check - OK</v>
      </c>
      <c r="G471" s="68"/>
      <c r="H471" s="162" t="s">
        <v>279</v>
      </c>
      <c r="I471" s="173">
        <v>89592.114709699614</v>
      </c>
      <c r="J471" s="168">
        <f>IFERROR(MIN('MP Calculations'!$E$30/I471,1),"-")</f>
        <v>0.31014580161562261</v>
      </c>
      <c r="K471" s="12"/>
      <c r="L471" s="159">
        <v>4.4753290000000003</v>
      </c>
      <c r="M471" s="187" t="s">
        <v>408</v>
      </c>
      <c r="N471" s="187">
        <v>276.07196399999998</v>
      </c>
      <c r="O471" s="186">
        <f t="shared" ref="O471:O534" si="23">IF(N471="","-",L471*N471)</f>
        <v>1235.5128665761561</v>
      </c>
      <c r="P471" s="186">
        <f t="shared" ref="P471:P534" si="24">IF(O471="-","-",IF(OR(E471&lt;$E$15,E471&gt;$E$16),0,O471*J471))</f>
        <v>383.18912841067771</v>
      </c>
      <c r="Q471" s="215">
        <f>IF(P471="-",0,P471/(1+'General inputs'!$H$30)^'MP Calculations'!$C$40)</f>
        <v>851.17379799264893</v>
      </c>
    </row>
    <row r="472" spans="3:17" x14ac:dyDescent="0.25">
      <c r="C472" s="159"/>
      <c r="D472" s="165" t="s">
        <v>334</v>
      </c>
      <c r="E472" s="162">
        <v>31744</v>
      </c>
      <c r="F472" s="166" t="str">
        <f t="shared" si="22"/>
        <v>Date check - OK</v>
      </c>
      <c r="G472" s="68"/>
      <c r="H472" s="162" t="s">
        <v>279</v>
      </c>
      <c r="I472" s="173">
        <v>89592.114709699614</v>
      </c>
      <c r="J472" s="168">
        <f>IFERROR(MIN('MP Calculations'!$E$30/I472,1),"-")</f>
        <v>0.31014580161562261</v>
      </c>
      <c r="K472" s="12"/>
      <c r="L472" s="159">
        <v>4.0990219999999997</v>
      </c>
      <c r="M472" s="187" t="s">
        <v>408</v>
      </c>
      <c r="N472" s="187">
        <v>276.07196399999998</v>
      </c>
      <c r="O472" s="186">
        <f t="shared" si="23"/>
        <v>1131.6250540192079</v>
      </c>
      <c r="P472" s="186">
        <f t="shared" si="24"/>
        <v>350.9687595071095</v>
      </c>
      <c r="Q472" s="215">
        <f>IF(P472="-",0,P472/(1+'General inputs'!$H$30)^'MP Calculations'!$C$40)</f>
        <v>779.60304679173828</v>
      </c>
    </row>
    <row r="473" spans="3:17" x14ac:dyDescent="0.25">
      <c r="C473" s="159"/>
      <c r="D473" s="165" t="s">
        <v>334</v>
      </c>
      <c r="E473" s="162">
        <v>31744</v>
      </c>
      <c r="F473" s="166" t="str">
        <f t="shared" si="22"/>
        <v>Date check - OK</v>
      </c>
      <c r="G473" s="68"/>
      <c r="H473" s="162" t="s">
        <v>279</v>
      </c>
      <c r="I473" s="173">
        <v>89592.114709699614</v>
      </c>
      <c r="J473" s="168">
        <f>IFERROR(MIN('MP Calculations'!$E$30/I473,1),"-")</f>
        <v>0.31014580161562261</v>
      </c>
      <c r="K473" s="12"/>
      <c r="L473" s="159">
        <v>4.5298730000000003</v>
      </c>
      <c r="M473" s="187" t="s">
        <v>408</v>
      </c>
      <c r="N473" s="187">
        <v>276.07196399999998</v>
      </c>
      <c r="O473" s="186">
        <f t="shared" si="23"/>
        <v>1250.570935780572</v>
      </c>
      <c r="P473" s="186">
        <f t="shared" si="24"/>
        <v>387.85932535486478</v>
      </c>
      <c r="Q473" s="215">
        <f>IF(P473="-",0,P473/(1+'General inputs'!$H$30)^'MP Calculations'!$C$40)</f>
        <v>861.54765511861899</v>
      </c>
    </row>
    <row r="474" spans="3:17" x14ac:dyDescent="0.25">
      <c r="C474" s="159"/>
      <c r="D474" s="165" t="s">
        <v>334</v>
      </c>
      <c r="E474" s="162">
        <v>31744</v>
      </c>
      <c r="F474" s="166" t="str">
        <f t="shared" si="22"/>
        <v>Date check - OK</v>
      </c>
      <c r="G474" s="68"/>
      <c r="H474" s="162" t="s">
        <v>279</v>
      </c>
      <c r="I474" s="173">
        <v>89592.114709699614</v>
      </c>
      <c r="J474" s="168">
        <f>IFERROR(MIN('MP Calculations'!$E$30/I474,1),"-")</f>
        <v>0.31014580161562261</v>
      </c>
      <c r="K474" s="12"/>
      <c r="L474" s="159">
        <v>1.2068270000000001</v>
      </c>
      <c r="M474" s="187" t="s">
        <v>408</v>
      </c>
      <c r="N474" s="187">
        <v>276.07196399999998</v>
      </c>
      <c r="O474" s="186">
        <f t="shared" si="23"/>
        <v>333.17110009822801</v>
      </c>
      <c r="P474" s="186">
        <f t="shared" si="24"/>
        <v>103.33161791512377</v>
      </c>
      <c r="Q474" s="215">
        <f>IF(P474="-",0,P474/(1+'General inputs'!$H$30)^'MP Calculations'!$C$40)</f>
        <v>229.52938680264054</v>
      </c>
    </row>
    <row r="475" spans="3:17" x14ac:dyDescent="0.25">
      <c r="C475" s="159"/>
      <c r="D475" s="165" t="s">
        <v>334</v>
      </c>
      <c r="E475" s="162">
        <v>31744</v>
      </c>
      <c r="F475" s="166" t="str">
        <f t="shared" si="22"/>
        <v>Date check - OK</v>
      </c>
      <c r="G475" s="68"/>
      <c r="H475" s="162" t="s">
        <v>279</v>
      </c>
      <c r="I475" s="173">
        <v>89592.114709699614</v>
      </c>
      <c r="J475" s="168">
        <f>IFERROR(MIN('MP Calculations'!$E$30/I475,1),"-")</f>
        <v>0.31014580161562261</v>
      </c>
      <c r="K475" s="12"/>
      <c r="L475" s="159">
        <v>1.166239</v>
      </c>
      <c r="M475" s="187" t="s">
        <v>408</v>
      </c>
      <c r="N475" s="187">
        <v>276.07196399999998</v>
      </c>
      <c r="O475" s="186">
        <f t="shared" si="23"/>
        <v>321.965891223396</v>
      </c>
      <c r="P475" s="186">
        <f t="shared" si="24"/>
        <v>99.856369426368502</v>
      </c>
      <c r="Q475" s="215">
        <f>IF(P475="-",0,P475/(1+'General inputs'!$H$30)^'MP Calculations'!$C$40)</f>
        <v>221.80985554294418</v>
      </c>
    </row>
    <row r="476" spans="3:17" x14ac:dyDescent="0.25">
      <c r="C476" s="159"/>
      <c r="D476" s="165" t="s">
        <v>287</v>
      </c>
      <c r="E476" s="162">
        <v>31778</v>
      </c>
      <c r="F476" s="166" t="str">
        <f t="shared" si="22"/>
        <v>Date check - OK</v>
      </c>
      <c r="G476" s="68"/>
      <c r="H476" s="162" t="s">
        <v>279</v>
      </c>
      <c r="I476" s="173">
        <v>89592.114709699614</v>
      </c>
      <c r="J476" s="168">
        <f>IFERROR(MIN('MP Calculations'!$E$30/I476,1),"-")</f>
        <v>0.31014580161562261</v>
      </c>
      <c r="K476" s="12"/>
      <c r="L476" s="159">
        <v>22.609172000000001</v>
      </c>
      <c r="M476" s="187" t="s">
        <v>408</v>
      </c>
      <c r="N476" s="187">
        <v>833.55921999999998</v>
      </c>
      <c r="O476" s="186">
        <f t="shared" si="23"/>
        <v>18846.083777165841</v>
      </c>
      <c r="P476" s="186">
        <f t="shared" si="24"/>
        <v>5845.03376038428</v>
      </c>
      <c r="Q476" s="215">
        <f>IF(P476="-",0,P476/(1+'General inputs'!$H$30)^'MP Calculations'!$C$40)</f>
        <v>12983.509229127983</v>
      </c>
    </row>
    <row r="477" spans="3:17" x14ac:dyDescent="0.25">
      <c r="C477" s="159"/>
      <c r="D477" s="165" t="s">
        <v>287</v>
      </c>
      <c r="E477" s="162">
        <v>31778</v>
      </c>
      <c r="F477" s="166" t="str">
        <f t="shared" si="22"/>
        <v>Date check - OK</v>
      </c>
      <c r="G477" s="68"/>
      <c r="H477" s="162" t="s">
        <v>279</v>
      </c>
      <c r="I477" s="173">
        <v>89592.114709699614</v>
      </c>
      <c r="J477" s="168">
        <f>IFERROR(MIN('MP Calculations'!$E$30/I477,1),"-")</f>
        <v>0.31014580161562261</v>
      </c>
      <c r="K477" s="12"/>
      <c r="L477" s="159">
        <v>125.001767</v>
      </c>
      <c r="M477" s="187" t="s">
        <v>408</v>
      </c>
      <c r="N477" s="187">
        <v>833.55921999999998</v>
      </c>
      <c r="O477" s="186">
        <f t="shared" si="23"/>
        <v>104196.37539914173</v>
      </c>
      <c r="P477" s="186">
        <f t="shared" si="24"/>
        <v>32316.068373609152</v>
      </c>
      <c r="Q477" s="215">
        <f>IF(P477="-",0,P477/(1+'General inputs'!$H$30)^'MP Calculations'!$C$40)</f>
        <v>71783.327381551426</v>
      </c>
    </row>
    <row r="478" spans="3:17" x14ac:dyDescent="0.25">
      <c r="C478" s="159"/>
      <c r="D478" s="165" t="s">
        <v>287</v>
      </c>
      <c r="E478" s="162">
        <v>31778</v>
      </c>
      <c r="F478" s="166" t="str">
        <f t="shared" si="22"/>
        <v>Date check - OK</v>
      </c>
      <c r="G478" s="68"/>
      <c r="H478" s="162" t="s">
        <v>279</v>
      </c>
      <c r="I478" s="173">
        <v>89592.114709699614</v>
      </c>
      <c r="J478" s="168">
        <f>IFERROR(MIN('MP Calculations'!$E$30/I478,1),"-")</f>
        <v>0.31014580161562261</v>
      </c>
      <c r="K478" s="12"/>
      <c r="L478" s="159">
        <v>112.627996</v>
      </c>
      <c r="M478" s="187" t="s">
        <v>408</v>
      </c>
      <c r="N478" s="187">
        <v>833.55921999999998</v>
      </c>
      <c r="O478" s="186">
        <f t="shared" si="23"/>
        <v>93882.104495923108</v>
      </c>
      <c r="P478" s="186">
        <f t="shared" si="24"/>
        <v>29117.14055624972</v>
      </c>
      <c r="Q478" s="215">
        <f>IF(P478="-",0,P478/(1+'General inputs'!$H$30)^'MP Calculations'!$C$40)</f>
        <v>64677.584191238384</v>
      </c>
    </row>
    <row r="479" spans="3:17" x14ac:dyDescent="0.25">
      <c r="C479" s="159"/>
      <c r="D479" s="165" t="s">
        <v>281</v>
      </c>
      <c r="E479" s="162">
        <v>31778</v>
      </c>
      <c r="F479" s="166" t="str">
        <f t="shared" si="22"/>
        <v>Date check - OK</v>
      </c>
      <c r="G479" s="68"/>
      <c r="H479" s="162" t="s">
        <v>279</v>
      </c>
      <c r="I479" s="173">
        <v>89592.114709699614</v>
      </c>
      <c r="J479" s="168">
        <f>IFERROR(MIN('MP Calculations'!$E$30/I479,1),"-")</f>
        <v>0.31014580161562261</v>
      </c>
      <c r="K479" s="12"/>
      <c r="L479" s="159">
        <v>153.70933099999999</v>
      </c>
      <c r="M479" s="187" t="s">
        <v>408</v>
      </c>
      <c r="N479" s="187">
        <v>657.22938499999998</v>
      </c>
      <c r="O479" s="186">
        <f t="shared" si="23"/>
        <v>101022.28908189143</v>
      </c>
      <c r="P479" s="186">
        <f t="shared" si="24"/>
        <v>31331.638828348376</v>
      </c>
      <c r="Q479" s="215">
        <f>IF(P479="-",0,P479/(1+'General inputs'!$H$30)^'MP Calculations'!$C$40)</f>
        <v>69596.624855905233</v>
      </c>
    </row>
    <row r="480" spans="3:17" x14ac:dyDescent="0.25">
      <c r="C480" s="159"/>
      <c r="D480" s="165" t="s">
        <v>281</v>
      </c>
      <c r="E480" s="162">
        <v>31778</v>
      </c>
      <c r="F480" s="166" t="str">
        <f t="shared" si="22"/>
        <v>Date check - OK</v>
      </c>
      <c r="G480" s="68"/>
      <c r="H480" s="162" t="s">
        <v>279</v>
      </c>
      <c r="I480" s="173">
        <v>89592.114709699614</v>
      </c>
      <c r="J480" s="168">
        <f>IFERROR(MIN('MP Calculations'!$E$30/I480,1),"-")</f>
        <v>0.31014580161562261</v>
      </c>
      <c r="K480" s="12"/>
      <c r="L480" s="159">
        <v>25.235378000000001</v>
      </c>
      <c r="M480" s="187" t="s">
        <v>408</v>
      </c>
      <c r="N480" s="187">
        <v>657.22938499999998</v>
      </c>
      <c r="O480" s="186">
        <f t="shared" si="23"/>
        <v>16585.431963182531</v>
      </c>
      <c r="P480" s="186">
        <f t="shared" si="24"/>
        <v>5143.9020913626155</v>
      </c>
      <c r="Q480" s="215">
        <f>IF(P480="-",0,P480/(1+'General inputs'!$H$30)^'MP Calculations'!$C$40)</f>
        <v>11426.093161273107</v>
      </c>
    </row>
    <row r="481" spans="3:17" x14ac:dyDescent="0.25">
      <c r="C481" s="159"/>
      <c r="D481" s="165" t="s">
        <v>281</v>
      </c>
      <c r="E481" s="162">
        <v>31778</v>
      </c>
      <c r="F481" s="166" t="str">
        <f t="shared" si="22"/>
        <v>Date check - OK</v>
      </c>
      <c r="G481" s="68"/>
      <c r="H481" s="162" t="s">
        <v>279</v>
      </c>
      <c r="I481" s="173">
        <v>89592.114709699614</v>
      </c>
      <c r="J481" s="168">
        <f>IFERROR(MIN('MP Calculations'!$E$30/I481,1),"-")</f>
        <v>0.31014580161562261</v>
      </c>
      <c r="K481" s="12"/>
      <c r="L481" s="159">
        <v>152.367031</v>
      </c>
      <c r="M481" s="187" t="s">
        <v>408</v>
      </c>
      <c r="N481" s="187">
        <v>657.22938499999998</v>
      </c>
      <c r="O481" s="186">
        <f t="shared" si="23"/>
        <v>100140.09007840593</v>
      </c>
      <c r="P481" s="186">
        <f t="shared" si="24"/>
        <v>31058.028511227865</v>
      </c>
      <c r="Q481" s="215">
        <f>IF(P481="-",0,P481/(1+'General inputs'!$H$30)^'MP Calculations'!$C$40)</f>
        <v>68988.857266674881</v>
      </c>
    </row>
    <row r="482" spans="3:17" x14ac:dyDescent="0.25">
      <c r="C482" s="159"/>
      <c r="D482" s="165" t="s">
        <v>281</v>
      </c>
      <c r="E482" s="162">
        <v>31778</v>
      </c>
      <c r="F482" s="166" t="str">
        <f t="shared" si="22"/>
        <v>Date check - OK</v>
      </c>
      <c r="G482" s="68"/>
      <c r="H482" s="162" t="s">
        <v>279</v>
      </c>
      <c r="I482" s="173">
        <v>89592.114709699614</v>
      </c>
      <c r="J482" s="168">
        <f>IFERROR(MIN('MP Calculations'!$E$30/I482,1),"-")</f>
        <v>0.31014580161562261</v>
      </c>
      <c r="K482" s="12"/>
      <c r="L482" s="159">
        <v>21.895982</v>
      </c>
      <c r="M482" s="187" t="s">
        <v>408</v>
      </c>
      <c r="N482" s="187">
        <v>657.22938499999998</v>
      </c>
      <c r="O482" s="186">
        <f t="shared" si="23"/>
        <v>14390.682783831069</v>
      </c>
      <c r="P482" s="186">
        <f t="shared" si="24"/>
        <v>4463.209847787426</v>
      </c>
      <c r="Q482" s="215">
        <f>IF(P482="-",0,P482/(1+'General inputs'!$H$30)^'MP Calculations'!$C$40)</f>
        <v>9914.0789644426568</v>
      </c>
    </row>
    <row r="483" spans="3:17" x14ac:dyDescent="0.25">
      <c r="C483" s="159"/>
      <c r="D483" s="165" t="s">
        <v>287</v>
      </c>
      <c r="E483" s="162">
        <v>31778</v>
      </c>
      <c r="F483" s="166" t="str">
        <f t="shared" si="22"/>
        <v>Date check - OK</v>
      </c>
      <c r="G483" s="68"/>
      <c r="H483" s="162" t="s">
        <v>279</v>
      </c>
      <c r="I483" s="173">
        <v>89592.114709699614</v>
      </c>
      <c r="J483" s="168">
        <f>IFERROR(MIN('MP Calculations'!$E$30/I483,1),"-")</f>
        <v>0.31014580161562261</v>
      </c>
      <c r="K483" s="12"/>
      <c r="L483" s="159">
        <v>91.604771</v>
      </c>
      <c r="M483" s="187" t="s">
        <v>408</v>
      </c>
      <c r="N483" s="187">
        <v>833.55921999999998</v>
      </c>
      <c r="O483" s="186">
        <f t="shared" si="23"/>
        <v>76358.001463038614</v>
      </c>
      <c r="P483" s="186">
        <f t="shared" si="24"/>
        <v>23682.113573520994</v>
      </c>
      <c r="Q483" s="215">
        <f>IF(P483="-",0,P483/(1+'General inputs'!$H$30)^'MP Calculations'!$C$40)</f>
        <v>52604.818509525932</v>
      </c>
    </row>
    <row r="484" spans="3:17" x14ac:dyDescent="0.25">
      <c r="C484" s="159"/>
      <c r="D484" s="165" t="s">
        <v>287</v>
      </c>
      <c r="E484" s="162">
        <v>31778</v>
      </c>
      <c r="F484" s="166" t="str">
        <f t="shared" si="22"/>
        <v>Date check - OK</v>
      </c>
      <c r="G484" s="68"/>
      <c r="H484" s="162" t="s">
        <v>279</v>
      </c>
      <c r="I484" s="173">
        <v>89592.114709699614</v>
      </c>
      <c r="J484" s="168">
        <f>IFERROR(MIN('MP Calculations'!$E$30/I484,1),"-")</f>
        <v>0.31014580161562261</v>
      </c>
      <c r="K484" s="12"/>
      <c r="L484" s="159">
        <v>31.131323999999999</v>
      </c>
      <c r="M484" s="187" t="s">
        <v>408</v>
      </c>
      <c r="N484" s="187">
        <v>833.55921999999998</v>
      </c>
      <c r="O484" s="186">
        <f t="shared" si="23"/>
        <v>25949.802151007279</v>
      </c>
      <c r="P484" s="186">
        <f t="shared" si="24"/>
        <v>8048.2221898909602</v>
      </c>
      <c r="Q484" s="215">
        <f>IF(P484="-",0,P484/(1+'General inputs'!$H$30)^'MP Calculations'!$C$40)</f>
        <v>17877.427464790551</v>
      </c>
    </row>
    <row r="485" spans="3:17" x14ac:dyDescent="0.25">
      <c r="C485" s="159"/>
      <c r="D485" s="165" t="s">
        <v>281</v>
      </c>
      <c r="E485" s="162">
        <v>31778</v>
      </c>
      <c r="F485" s="166" t="str">
        <f t="shared" si="22"/>
        <v>Date check - OK</v>
      </c>
      <c r="G485" s="68"/>
      <c r="H485" s="162" t="s">
        <v>279</v>
      </c>
      <c r="I485" s="173">
        <v>89592.114709699614</v>
      </c>
      <c r="J485" s="168">
        <f>IFERROR(MIN('MP Calculations'!$E$30/I485,1),"-")</f>
        <v>0.31014580161562261</v>
      </c>
      <c r="K485" s="12"/>
      <c r="L485" s="159">
        <v>145.93515500000001</v>
      </c>
      <c r="M485" s="187" t="s">
        <v>408</v>
      </c>
      <c r="N485" s="187">
        <v>657.22938499999998</v>
      </c>
      <c r="O485" s="186">
        <f t="shared" si="23"/>
        <v>95912.872170529678</v>
      </c>
      <c r="P485" s="186">
        <f t="shared" si="24"/>
        <v>29746.97462458567</v>
      </c>
      <c r="Q485" s="215">
        <f>IF(P485="-",0,P485/(1+'General inputs'!$H$30)^'MP Calculations'!$C$40)</f>
        <v>66076.627682566555</v>
      </c>
    </row>
    <row r="486" spans="3:17" x14ac:dyDescent="0.25">
      <c r="C486" s="159"/>
      <c r="D486" s="165" t="s">
        <v>284</v>
      </c>
      <c r="E486" s="162">
        <v>31778</v>
      </c>
      <c r="F486" s="166" t="str">
        <f t="shared" si="22"/>
        <v>Date check - OK</v>
      </c>
      <c r="G486" s="68"/>
      <c r="H486" s="162" t="s">
        <v>279</v>
      </c>
      <c r="I486" s="173">
        <v>89592.114709699614</v>
      </c>
      <c r="J486" s="168">
        <f>IFERROR(MIN('MP Calculations'!$E$30/I486,1),"-")</f>
        <v>0.31014580161562261</v>
      </c>
      <c r="K486" s="12"/>
      <c r="L486" s="159">
        <v>46.247888000000003</v>
      </c>
      <c r="M486" s="187" t="s">
        <v>408</v>
      </c>
      <c r="N486" s="187">
        <v>304.56971499999997</v>
      </c>
      <c r="O486" s="186">
        <f t="shared" si="23"/>
        <v>14085.706067511919</v>
      </c>
      <c r="P486" s="186">
        <f t="shared" si="24"/>
        <v>4368.6225996305229</v>
      </c>
      <c r="Q486" s="215">
        <f>IF(P486="-",0,P486/(1+'General inputs'!$H$30)^'MP Calculations'!$C$40)</f>
        <v>9703.9733500445927</v>
      </c>
    </row>
    <row r="487" spans="3:17" x14ac:dyDescent="0.25">
      <c r="C487" s="159"/>
      <c r="D487" s="165" t="s">
        <v>284</v>
      </c>
      <c r="E487" s="162">
        <v>31778</v>
      </c>
      <c r="F487" s="166" t="str">
        <f t="shared" si="22"/>
        <v>Date check - OK</v>
      </c>
      <c r="G487" s="68"/>
      <c r="H487" s="162" t="s">
        <v>279</v>
      </c>
      <c r="I487" s="173">
        <v>89592.114709699614</v>
      </c>
      <c r="J487" s="168">
        <f>IFERROR(MIN('MP Calculations'!$E$30/I487,1),"-")</f>
        <v>0.31014580161562261</v>
      </c>
      <c r="K487" s="12"/>
      <c r="L487" s="159">
        <v>27.961486000000001</v>
      </c>
      <c r="M487" s="187" t="s">
        <v>408</v>
      </c>
      <c r="N487" s="187">
        <v>304.56971499999997</v>
      </c>
      <c r="O487" s="186">
        <f t="shared" si="23"/>
        <v>8516.2218219964889</v>
      </c>
      <c r="P487" s="186">
        <f t="shared" si="24"/>
        <v>2641.2704437195594</v>
      </c>
      <c r="Q487" s="215">
        <f>IF(P487="-",0,P487/(1+'General inputs'!$H$30)^'MP Calculations'!$C$40)</f>
        <v>5867.0249973716636</v>
      </c>
    </row>
    <row r="488" spans="3:17" x14ac:dyDescent="0.25">
      <c r="C488" s="159"/>
      <c r="D488" s="165" t="s">
        <v>283</v>
      </c>
      <c r="E488" s="162">
        <v>31778</v>
      </c>
      <c r="F488" s="166" t="str">
        <f t="shared" si="22"/>
        <v>Date check - OK</v>
      </c>
      <c r="G488" s="68"/>
      <c r="H488" s="162" t="s">
        <v>279</v>
      </c>
      <c r="I488" s="173">
        <v>89592.114709699614</v>
      </c>
      <c r="J488" s="168">
        <f>IFERROR(MIN('MP Calculations'!$E$30/I488,1),"-")</f>
        <v>0.31014580161562261</v>
      </c>
      <c r="K488" s="12"/>
      <c r="L488" s="159">
        <v>34.210174000000002</v>
      </c>
      <c r="M488" s="187" t="s">
        <v>408</v>
      </c>
      <c r="N488" s="187">
        <v>480.89954999999998</v>
      </c>
      <c r="O488" s="186">
        <f t="shared" si="23"/>
        <v>16451.657282021701</v>
      </c>
      <c r="P488" s="186">
        <f t="shared" si="24"/>
        <v>5102.4124356381153</v>
      </c>
      <c r="Q488" s="215">
        <f>IF(P488="-",0,P488/(1+'General inputs'!$H$30)^'MP Calculations'!$C$40)</f>
        <v>11333.932645167384</v>
      </c>
    </row>
    <row r="489" spans="3:17" x14ac:dyDescent="0.25">
      <c r="C489" s="159"/>
      <c r="D489" s="165" t="s">
        <v>313</v>
      </c>
      <c r="E489" s="162">
        <v>31863</v>
      </c>
      <c r="F489" s="166" t="str">
        <f t="shared" si="22"/>
        <v>Date check - OK</v>
      </c>
      <c r="G489" s="68"/>
      <c r="H489" s="162" t="s">
        <v>279</v>
      </c>
      <c r="I489" s="173">
        <v>89592.114709699614</v>
      </c>
      <c r="J489" s="168">
        <f>IFERROR(MIN('MP Calculations'!$E$30/I489,1),"-")</f>
        <v>0.31014580161562261</v>
      </c>
      <c r="K489" s="12"/>
      <c r="L489" s="159">
        <v>12.800651</v>
      </c>
      <c r="M489" s="187" t="s">
        <v>408</v>
      </c>
      <c r="N489" s="187">
        <v>219.07646199999999</v>
      </c>
      <c r="O489" s="186">
        <f t="shared" si="23"/>
        <v>2804.3213323767618</v>
      </c>
      <c r="P489" s="186">
        <f t="shared" si="24"/>
        <v>869.74848761778162</v>
      </c>
      <c r="Q489" s="215">
        <f>IF(P489="-",0,P489/(1+'General inputs'!$H$30)^'MP Calculations'!$C$40)</f>
        <v>1931.9627531566489</v>
      </c>
    </row>
    <row r="490" spans="3:17" x14ac:dyDescent="0.25">
      <c r="C490" s="159"/>
      <c r="D490" s="165" t="s">
        <v>313</v>
      </c>
      <c r="E490" s="162">
        <v>31863</v>
      </c>
      <c r="F490" s="166" t="str">
        <f t="shared" si="22"/>
        <v>Date check - OK</v>
      </c>
      <c r="G490" s="68"/>
      <c r="H490" s="162" t="s">
        <v>279</v>
      </c>
      <c r="I490" s="173">
        <v>89592.114709699614</v>
      </c>
      <c r="J490" s="168">
        <f>IFERROR(MIN('MP Calculations'!$E$30/I490,1),"-")</f>
        <v>0.31014580161562261</v>
      </c>
      <c r="K490" s="12"/>
      <c r="L490" s="159">
        <v>4.9999599999999997</v>
      </c>
      <c r="M490" s="187" t="s">
        <v>408</v>
      </c>
      <c r="N490" s="187">
        <v>219.07646199999999</v>
      </c>
      <c r="O490" s="186">
        <f t="shared" si="23"/>
        <v>1095.3735469415199</v>
      </c>
      <c r="P490" s="186">
        <f t="shared" si="24"/>
        <v>339.7255067847255</v>
      </c>
      <c r="Q490" s="215">
        <f>IF(P490="-",0,P490/(1+'General inputs'!$H$30)^'MP Calculations'!$C$40)</f>
        <v>754.62853313265998</v>
      </c>
    </row>
    <row r="491" spans="3:17" x14ac:dyDescent="0.25">
      <c r="C491" s="159"/>
      <c r="D491" s="165" t="s">
        <v>313</v>
      </c>
      <c r="E491" s="162">
        <v>31863</v>
      </c>
      <c r="F491" s="166" t="str">
        <f t="shared" si="22"/>
        <v>Date check - OK</v>
      </c>
      <c r="G491" s="68"/>
      <c r="H491" s="162" t="s">
        <v>279</v>
      </c>
      <c r="I491" s="173">
        <v>89592.114709699614</v>
      </c>
      <c r="J491" s="168">
        <f>IFERROR(MIN('MP Calculations'!$E$30/I491,1),"-")</f>
        <v>0.31014580161562261</v>
      </c>
      <c r="K491" s="12"/>
      <c r="L491" s="159">
        <v>5.8343410000000002</v>
      </c>
      <c r="M491" s="187" t="s">
        <v>408</v>
      </c>
      <c r="N491" s="187">
        <v>219.07646199999999</v>
      </c>
      <c r="O491" s="186">
        <f t="shared" si="23"/>
        <v>1278.1667843815419</v>
      </c>
      <c r="P491" s="186">
        <f t="shared" si="24"/>
        <v>396.41806194047598</v>
      </c>
      <c r="Q491" s="215">
        <f>IF(P491="-",0,P491/(1+'General inputs'!$H$30)^'MP Calculations'!$C$40)</f>
        <v>880.55908259780824</v>
      </c>
    </row>
    <row r="492" spans="3:17" x14ac:dyDescent="0.25">
      <c r="C492" s="159"/>
      <c r="D492" s="165" t="s">
        <v>313</v>
      </c>
      <c r="E492" s="162">
        <v>31863</v>
      </c>
      <c r="F492" s="166" t="str">
        <f t="shared" si="22"/>
        <v>Date check - OK</v>
      </c>
      <c r="G492" s="68"/>
      <c r="H492" s="162" t="s">
        <v>279</v>
      </c>
      <c r="I492" s="173">
        <v>89592.114709699614</v>
      </c>
      <c r="J492" s="168">
        <f>IFERROR(MIN('MP Calculations'!$E$30/I492,1),"-")</f>
        <v>0.31014580161562261</v>
      </c>
      <c r="K492" s="12"/>
      <c r="L492" s="159">
        <v>114.909294</v>
      </c>
      <c r="M492" s="187" t="s">
        <v>408</v>
      </c>
      <c r="N492" s="187">
        <v>219.07646199999999</v>
      </c>
      <c r="O492" s="186">
        <f t="shared" si="23"/>
        <v>25173.921580437829</v>
      </c>
      <c r="P492" s="186">
        <f t="shared" si="24"/>
        <v>7807.5860883737114</v>
      </c>
      <c r="Q492" s="215">
        <f>IF(P492="-",0,P492/(1+'General inputs'!$H$30)^'MP Calculations'!$C$40)</f>
        <v>17342.905138147024</v>
      </c>
    </row>
    <row r="493" spans="3:17" x14ac:dyDescent="0.25">
      <c r="C493" s="159"/>
      <c r="D493" s="165" t="s">
        <v>313</v>
      </c>
      <c r="E493" s="162">
        <v>31863</v>
      </c>
      <c r="F493" s="166" t="str">
        <f t="shared" si="22"/>
        <v>Date check - OK</v>
      </c>
      <c r="G493" s="68"/>
      <c r="H493" s="162" t="s">
        <v>279</v>
      </c>
      <c r="I493" s="173">
        <v>89592.114709699614</v>
      </c>
      <c r="J493" s="168">
        <f>IFERROR(MIN('MP Calculations'!$E$30/I493,1),"-")</f>
        <v>0.31014580161562261</v>
      </c>
      <c r="K493" s="12"/>
      <c r="L493" s="159">
        <v>0.78169100000000002</v>
      </c>
      <c r="M493" s="187" t="s">
        <v>408</v>
      </c>
      <c r="N493" s="187">
        <v>219.07646199999999</v>
      </c>
      <c r="O493" s="186">
        <f t="shared" si="23"/>
        <v>171.25009865724201</v>
      </c>
      <c r="P493" s="186">
        <f t="shared" si="24"/>
        <v>53.112499124804778</v>
      </c>
      <c r="Q493" s="215">
        <f>IF(P493="-",0,P493/(1+'General inputs'!$H$30)^'MP Calculations'!$C$40)</f>
        <v>117.97821036428336</v>
      </c>
    </row>
    <row r="494" spans="3:17" x14ac:dyDescent="0.25">
      <c r="C494" s="159"/>
      <c r="D494" s="165" t="s">
        <v>283</v>
      </c>
      <c r="E494" s="162">
        <v>32143</v>
      </c>
      <c r="F494" s="166" t="str">
        <f t="shared" si="22"/>
        <v>Date check - OK</v>
      </c>
      <c r="G494" s="68"/>
      <c r="H494" s="162" t="s">
        <v>279</v>
      </c>
      <c r="I494" s="173">
        <v>89592.114709699614</v>
      </c>
      <c r="J494" s="168">
        <f>IFERROR(MIN('MP Calculations'!$E$30/I494,1),"-")</f>
        <v>0.31014580161562261</v>
      </c>
      <c r="K494" s="12"/>
      <c r="L494" s="159">
        <v>16.145178999999999</v>
      </c>
      <c r="M494" s="187" t="s">
        <v>408</v>
      </c>
      <c r="N494" s="187">
        <v>480.89954999999998</v>
      </c>
      <c r="O494" s="186">
        <f t="shared" si="23"/>
        <v>7764.2093157694489</v>
      </c>
      <c r="P494" s="186">
        <f t="shared" si="24"/>
        <v>2408.0369221508004</v>
      </c>
      <c r="Q494" s="215">
        <f>IF(P494="-",0,P494/(1+'General inputs'!$H$30)^'MP Calculations'!$C$40)</f>
        <v>5348.9459401805698</v>
      </c>
    </row>
    <row r="495" spans="3:17" x14ac:dyDescent="0.25">
      <c r="C495" s="159"/>
      <c r="D495" s="165" t="s">
        <v>283</v>
      </c>
      <c r="E495" s="162">
        <v>32143</v>
      </c>
      <c r="F495" s="166" t="str">
        <f t="shared" si="22"/>
        <v>Date check - OK</v>
      </c>
      <c r="G495" s="68"/>
      <c r="H495" s="162" t="s">
        <v>279</v>
      </c>
      <c r="I495" s="173">
        <v>89592.114709699614</v>
      </c>
      <c r="J495" s="168">
        <f>IFERROR(MIN('MP Calculations'!$E$30/I495,1),"-")</f>
        <v>0.31014580161562261</v>
      </c>
      <c r="K495" s="12"/>
      <c r="L495" s="159">
        <v>37.553874</v>
      </c>
      <c r="M495" s="187" t="s">
        <v>408</v>
      </c>
      <c r="N495" s="187">
        <v>480.89954999999998</v>
      </c>
      <c r="O495" s="186">
        <f t="shared" si="23"/>
        <v>18059.6411073567</v>
      </c>
      <c r="P495" s="186">
        <f t="shared" si="24"/>
        <v>5601.1218681315941</v>
      </c>
      <c r="Q495" s="215">
        <f>IF(P495="-",0,P495/(1+'General inputs'!$H$30)^'MP Calculations'!$C$40)</f>
        <v>12441.71042453928</v>
      </c>
    </row>
    <row r="496" spans="3:17" x14ac:dyDescent="0.25">
      <c r="C496" s="159"/>
      <c r="D496" s="165" t="s">
        <v>283</v>
      </c>
      <c r="E496" s="162">
        <v>32143</v>
      </c>
      <c r="F496" s="166" t="str">
        <f t="shared" si="22"/>
        <v>Date check - OK</v>
      </c>
      <c r="G496" s="68"/>
      <c r="H496" s="162" t="s">
        <v>279</v>
      </c>
      <c r="I496" s="173">
        <v>89592.114709699614</v>
      </c>
      <c r="J496" s="168">
        <f>IFERROR(MIN('MP Calculations'!$E$30/I496,1),"-")</f>
        <v>0.31014580161562261</v>
      </c>
      <c r="K496" s="12"/>
      <c r="L496" s="159">
        <v>23.746801999999999</v>
      </c>
      <c r="M496" s="187" t="s">
        <v>408</v>
      </c>
      <c r="N496" s="187">
        <v>480.89954999999998</v>
      </c>
      <c r="O496" s="186">
        <f t="shared" si="23"/>
        <v>11419.826395739099</v>
      </c>
      <c r="P496" s="186">
        <f t="shared" si="24"/>
        <v>3541.8112118177492</v>
      </c>
      <c r="Q496" s="215">
        <f>IF(P496="-",0,P496/(1+'General inputs'!$H$30)^'MP Calculations'!$C$40)</f>
        <v>7867.3863046158758</v>
      </c>
    </row>
    <row r="497" spans="3:17" x14ac:dyDescent="0.25">
      <c r="C497" s="159"/>
      <c r="D497" s="165" t="s">
        <v>283</v>
      </c>
      <c r="E497" s="162">
        <v>32143</v>
      </c>
      <c r="F497" s="166" t="str">
        <f t="shared" si="22"/>
        <v>Date check - OK</v>
      </c>
      <c r="G497" s="68"/>
      <c r="H497" s="162" t="s">
        <v>279</v>
      </c>
      <c r="I497" s="173">
        <v>89592.114709699614</v>
      </c>
      <c r="J497" s="168">
        <f>IFERROR(MIN('MP Calculations'!$E$30/I497,1),"-")</f>
        <v>0.31014580161562261</v>
      </c>
      <c r="K497" s="12"/>
      <c r="L497" s="159">
        <v>26.999147000000001</v>
      </c>
      <c r="M497" s="187" t="s">
        <v>408</v>
      </c>
      <c r="N497" s="187">
        <v>480.89954999999998</v>
      </c>
      <c r="O497" s="186">
        <f t="shared" si="23"/>
        <v>12983.87764268385</v>
      </c>
      <c r="P497" s="186">
        <f t="shared" si="24"/>
        <v>4026.895139569343</v>
      </c>
      <c r="Q497" s="215">
        <f>IF(P497="-",0,P497/(1+'General inputs'!$H$30)^'MP Calculations'!$C$40)</f>
        <v>8944.8979001092794</v>
      </c>
    </row>
    <row r="498" spans="3:17" x14ac:dyDescent="0.25">
      <c r="C498" s="159"/>
      <c r="D498" s="165" t="s">
        <v>283</v>
      </c>
      <c r="E498" s="162">
        <v>32143</v>
      </c>
      <c r="F498" s="166" t="str">
        <f t="shared" si="22"/>
        <v>Date check - OK</v>
      </c>
      <c r="G498" s="68"/>
      <c r="H498" s="162" t="s">
        <v>279</v>
      </c>
      <c r="I498" s="173">
        <v>89592.114709699614</v>
      </c>
      <c r="J498" s="168">
        <f>IFERROR(MIN('MP Calculations'!$E$30/I498,1),"-")</f>
        <v>0.31014580161562261</v>
      </c>
      <c r="K498" s="12"/>
      <c r="L498" s="159">
        <v>31.798711999999998</v>
      </c>
      <c r="M498" s="187" t="s">
        <v>408</v>
      </c>
      <c r="N498" s="187">
        <v>480.89954999999998</v>
      </c>
      <c r="O498" s="186">
        <f t="shared" si="23"/>
        <v>15291.986291379599</v>
      </c>
      <c r="P498" s="186">
        <f t="shared" si="24"/>
        <v>4742.7453466350371</v>
      </c>
      <c r="Q498" s="215">
        <f>IF(P498="-",0,P498/(1+'General inputs'!$H$30)^'MP Calculations'!$C$40)</f>
        <v>10535.008094699424</v>
      </c>
    </row>
    <row r="499" spans="3:17" x14ac:dyDescent="0.25">
      <c r="C499" s="159"/>
      <c r="D499" s="165" t="s">
        <v>283</v>
      </c>
      <c r="E499" s="162">
        <v>32143</v>
      </c>
      <c r="F499" s="166" t="str">
        <f t="shared" si="22"/>
        <v>Date check - OK</v>
      </c>
      <c r="G499" s="68"/>
      <c r="H499" s="162" t="s">
        <v>279</v>
      </c>
      <c r="I499" s="173">
        <v>89592.114709699614</v>
      </c>
      <c r="J499" s="168">
        <f>IFERROR(MIN('MP Calculations'!$E$30/I499,1),"-")</f>
        <v>0.31014580161562261</v>
      </c>
      <c r="K499" s="12"/>
      <c r="L499" s="159">
        <v>33.899403</v>
      </c>
      <c r="M499" s="187" t="s">
        <v>408</v>
      </c>
      <c r="N499" s="187">
        <v>480.89954999999998</v>
      </c>
      <c r="O499" s="186">
        <f t="shared" si="23"/>
        <v>16302.207647968649</v>
      </c>
      <c r="P499" s="186">
        <f t="shared" si="24"/>
        <v>5056.0612590835699</v>
      </c>
      <c r="Q499" s="215">
        <f>IF(P499="-",0,P499/(1+'General inputs'!$H$30)^'MP Calculations'!$C$40)</f>
        <v>11230.973286291532</v>
      </c>
    </row>
    <row r="500" spans="3:17" x14ac:dyDescent="0.25">
      <c r="C500" s="159"/>
      <c r="D500" s="165" t="s">
        <v>283</v>
      </c>
      <c r="E500" s="162">
        <v>32143</v>
      </c>
      <c r="F500" s="166" t="str">
        <f t="shared" si="22"/>
        <v>Date check - OK</v>
      </c>
      <c r="G500" s="68"/>
      <c r="H500" s="162" t="s">
        <v>279</v>
      </c>
      <c r="I500" s="173">
        <v>89592.114709699614</v>
      </c>
      <c r="J500" s="168">
        <f>IFERROR(MIN('MP Calculations'!$E$30/I500,1),"-")</f>
        <v>0.31014580161562261</v>
      </c>
      <c r="K500" s="12"/>
      <c r="L500" s="159">
        <v>7.0194869999999998</v>
      </c>
      <c r="M500" s="187" t="s">
        <v>408</v>
      </c>
      <c r="N500" s="187">
        <v>480.89954999999998</v>
      </c>
      <c r="O500" s="186">
        <f t="shared" si="23"/>
        <v>3375.6681395308497</v>
      </c>
      <c r="P500" s="186">
        <f t="shared" si="24"/>
        <v>1046.9493011231127</v>
      </c>
      <c r="Q500" s="215">
        <f>IF(P500="-",0,P500/(1+'General inputs'!$H$30)^'MP Calculations'!$C$40)</f>
        <v>2325.5769719741284</v>
      </c>
    </row>
    <row r="501" spans="3:17" x14ac:dyDescent="0.25">
      <c r="C501" s="159"/>
      <c r="D501" s="165" t="s">
        <v>283</v>
      </c>
      <c r="E501" s="162">
        <v>32143</v>
      </c>
      <c r="F501" s="166" t="str">
        <f t="shared" si="22"/>
        <v>Date check - OK</v>
      </c>
      <c r="G501" s="68"/>
      <c r="H501" s="162" t="s">
        <v>279</v>
      </c>
      <c r="I501" s="173">
        <v>89592.114709699614</v>
      </c>
      <c r="J501" s="168">
        <f>IFERROR(MIN('MP Calculations'!$E$30/I501,1),"-")</f>
        <v>0.31014580161562261</v>
      </c>
      <c r="K501" s="12"/>
      <c r="L501" s="159">
        <v>57.464080000000003</v>
      </c>
      <c r="M501" s="187" t="s">
        <v>408</v>
      </c>
      <c r="N501" s="187">
        <v>480.89954999999998</v>
      </c>
      <c r="O501" s="186">
        <f t="shared" si="23"/>
        <v>27634.450213164</v>
      </c>
      <c r="P501" s="186">
        <f t="shared" si="24"/>
        <v>8570.7087135687616</v>
      </c>
      <c r="Q501" s="215">
        <f>IF(P501="-",0,P501/(1+'General inputs'!$H$30)^'MP Calculations'!$C$40)</f>
        <v>19038.02103539462</v>
      </c>
    </row>
    <row r="502" spans="3:17" x14ac:dyDescent="0.25">
      <c r="C502" s="159"/>
      <c r="D502" s="165" t="s">
        <v>284</v>
      </c>
      <c r="E502" s="162">
        <v>32143</v>
      </c>
      <c r="F502" s="166" t="str">
        <f t="shared" si="22"/>
        <v>Date check - OK</v>
      </c>
      <c r="G502" s="68"/>
      <c r="H502" s="162" t="s">
        <v>279</v>
      </c>
      <c r="I502" s="173">
        <v>89592.114709699614</v>
      </c>
      <c r="J502" s="168">
        <f>IFERROR(MIN('MP Calculations'!$E$30/I502,1),"-")</f>
        <v>0.31014580161562261</v>
      </c>
      <c r="K502" s="12"/>
      <c r="L502" s="159">
        <v>5.9992970000000003</v>
      </c>
      <c r="M502" s="187" t="s">
        <v>408</v>
      </c>
      <c r="N502" s="187">
        <v>304.56971499999997</v>
      </c>
      <c r="O502" s="186">
        <f t="shared" si="23"/>
        <v>1827.2041774903551</v>
      </c>
      <c r="P502" s="186">
        <f t="shared" si="24"/>
        <v>566.69970434316053</v>
      </c>
      <c r="Q502" s="215">
        <f>IF(P502="-",0,P502/(1+'General inputs'!$H$30)^'MP Calculations'!$C$40)</f>
        <v>1258.8038227173201</v>
      </c>
    </row>
    <row r="503" spans="3:17" x14ac:dyDescent="0.25">
      <c r="C503" s="159"/>
      <c r="D503" s="165" t="s">
        <v>283</v>
      </c>
      <c r="E503" s="162">
        <v>32143</v>
      </c>
      <c r="F503" s="166" t="str">
        <f t="shared" si="22"/>
        <v>Date check - OK</v>
      </c>
      <c r="G503" s="68"/>
      <c r="H503" s="162" t="s">
        <v>279</v>
      </c>
      <c r="I503" s="173">
        <v>89592.114709699614</v>
      </c>
      <c r="J503" s="168">
        <f>IFERROR(MIN('MP Calculations'!$E$30/I503,1),"-")</f>
        <v>0.31014580161562261</v>
      </c>
      <c r="K503" s="12"/>
      <c r="L503" s="159">
        <v>2.0833439999999999</v>
      </c>
      <c r="M503" s="187" t="s">
        <v>408</v>
      </c>
      <c r="N503" s="187">
        <v>480.89954999999998</v>
      </c>
      <c r="O503" s="186">
        <f t="shared" si="23"/>
        <v>1001.8791920951999</v>
      </c>
      <c r="P503" s="186">
        <f t="shared" si="24"/>
        <v>310.72862515437811</v>
      </c>
      <c r="Q503" s="215">
        <f>IF(P503="-",0,P503/(1+'General inputs'!$H$30)^'MP Calculations'!$C$40)</f>
        <v>690.21807877135018</v>
      </c>
    </row>
    <row r="504" spans="3:17" x14ac:dyDescent="0.25">
      <c r="C504" s="159"/>
      <c r="D504" s="165" t="s">
        <v>283</v>
      </c>
      <c r="E504" s="162">
        <v>32143</v>
      </c>
      <c r="F504" s="166" t="str">
        <f t="shared" si="22"/>
        <v>Date check - OK</v>
      </c>
      <c r="G504" s="68"/>
      <c r="H504" s="162" t="s">
        <v>279</v>
      </c>
      <c r="I504" s="173">
        <v>89592.114709699614</v>
      </c>
      <c r="J504" s="168">
        <f>IFERROR(MIN('MP Calculations'!$E$30/I504,1),"-")</f>
        <v>0.31014580161562261</v>
      </c>
      <c r="K504" s="12"/>
      <c r="L504" s="159">
        <v>13.984603</v>
      </c>
      <c r="M504" s="187" t="s">
        <v>408</v>
      </c>
      <c r="N504" s="187">
        <v>480.89954999999998</v>
      </c>
      <c r="O504" s="186">
        <f t="shared" si="23"/>
        <v>6725.1892896286499</v>
      </c>
      <c r="P504" s="186">
        <f t="shared" si="24"/>
        <v>2085.789223248677</v>
      </c>
      <c r="Q504" s="215">
        <f>IF(P504="-",0,P504/(1+'General inputs'!$H$30)^'MP Calculations'!$C$40)</f>
        <v>4633.1406695390006</v>
      </c>
    </row>
    <row r="505" spans="3:17" x14ac:dyDescent="0.25">
      <c r="C505" s="159"/>
      <c r="D505" s="165" t="s">
        <v>284</v>
      </c>
      <c r="E505" s="162">
        <v>32143</v>
      </c>
      <c r="F505" s="166" t="str">
        <f t="shared" si="22"/>
        <v>Date check - OK</v>
      </c>
      <c r="G505" s="68"/>
      <c r="H505" s="162" t="s">
        <v>279</v>
      </c>
      <c r="I505" s="173">
        <v>89592.114709699614</v>
      </c>
      <c r="J505" s="168">
        <f>IFERROR(MIN('MP Calculations'!$E$30/I505,1),"-")</f>
        <v>0.31014580161562261</v>
      </c>
      <c r="K505" s="12"/>
      <c r="L505" s="159">
        <v>8.3701190000000008</v>
      </c>
      <c r="M505" s="187" t="s">
        <v>408</v>
      </c>
      <c r="N505" s="187">
        <v>304.56971499999997</v>
      </c>
      <c r="O505" s="186">
        <f t="shared" si="23"/>
        <v>2549.2847583460848</v>
      </c>
      <c r="P505" s="186">
        <f t="shared" si="24"/>
        <v>790.64996492373518</v>
      </c>
      <c r="Q505" s="215">
        <f>IF(P505="-",0,P505/(1+'General inputs'!$H$30)^'MP Calculations'!$C$40)</f>
        <v>1756.2620743395221</v>
      </c>
    </row>
    <row r="506" spans="3:17" x14ac:dyDescent="0.25">
      <c r="C506" s="159"/>
      <c r="D506" s="165" t="s">
        <v>283</v>
      </c>
      <c r="E506" s="162">
        <v>32143</v>
      </c>
      <c r="F506" s="166" t="str">
        <f t="shared" si="22"/>
        <v>Date check - OK</v>
      </c>
      <c r="G506" s="68"/>
      <c r="H506" s="162" t="s">
        <v>279</v>
      </c>
      <c r="I506" s="173">
        <v>89592.114709699614</v>
      </c>
      <c r="J506" s="168">
        <f>IFERROR(MIN('MP Calculations'!$E$30/I506,1),"-")</f>
        <v>0.31014580161562261</v>
      </c>
      <c r="K506" s="12"/>
      <c r="L506" s="159">
        <v>12.995728</v>
      </c>
      <c r="M506" s="187" t="s">
        <v>408</v>
      </c>
      <c r="N506" s="187">
        <v>480.89954999999998</v>
      </c>
      <c r="O506" s="186">
        <f t="shared" si="23"/>
        <v>6249.6397471224</v>
      </c>
      <c r="P506" s="186">
        <f t="shared" si="24"/>
        <v>1938.2995291801337</v>
      </c>
      <c r="Q506" s="215">
        <f>IF(P506="-",0,P506/(1+'General inputs'!$H$30)^'MP Calculations'!$C$40)</f>
        <v>4305.5234336696403</v>
      </c>
    </row>
    <row r="507" spans="3:17" x14ac:dyDescent="0.25">
      <c r="C507" s="159"/>
      <c r="D507" s="165" t="s">
        <v>283</v>
      </c>
      <c r="E507" s="162">
        <v>32143</v>
      </c>
      <c r="F507" s="166" t="str">
        <f t="shared" si="22"/>
        <v>Date check - OK</v>
      </c>
      <c r="G507" s="68"/>
      <c r="H507" s="162" t="s">
        <v>279</v>
      </c>
      <c r="I507" s="173">
        <v>89592.114709699614</v>
      </c>
      <c r="J507" s="168">
        <f>IFERROR(MIN('MP Calculations'!$E$30/I507,1),"-")</f>
        <v>0.31014580161562261</v>
      </c>
      <c r="K507" s="12"/>
      <c r="L507" s="159">
        <v>16.9863</v>
      </c>
      <c r="M507" s="187" t="s">
        <v>408</v>
      </c>
      <c r="N507" s="187">
        <v>480.89954999999998</v>
      </c>
      <c r="O507" s="186">
        <f t="shared" si="23"/>
        <v>8168.704026165</v>
      </c>
      <c r="P507" s="186">
        <f t="shared" si="24"/>
        <v>2533.4892583557075</v>
      </c>
      <c r="Q507" s="215">
        <f>IF(P507="-",0,P507/(1+'General inputs'!$H$30)^'MP Calculations'!$C$40)</f>
        <v>5627.6118353156207</v>
      </c>
    </row>
    <row r="508" spans="3:17" x14ac:dyDescent="0.25">
      <c r="C508" s="159"/>
      <c r="D508" s="165" t="s">
        <v>283</v>
      </c>
      <c r="E508" s="162">
        <v>32143</v>
      </c>
      <c r="F508" s="166" t="str">
        <f t="shared" si="22"/>
        <v>Date check - OK</v>
      </c>
      <c r="G508" s="68"/>
      <c r="H508" s="162" t="s">
        <v>279</v>
      </c>
      <c r="I508" s="173">
        <v>89592.114709699614</v>
      </c>
      <c r="J508" s="168">
        <f>IFERROR(MIN('MP Calculations'!$E$30/I508,1),"-")</f>
        <v>0.31014580161562261</v>
      </c>
      <c r="K508" s="12"/>
      <c r="L508" s="159">
        <v>0.67300099999999996</v>
      </c>
      <c r="M508" s="187" t="s">
        <v>408</v>
      </c>
      <c r="N508" s="187">
        <v>480.89954999999998</v>
      </c>
      <c r="O508" s="186">
        <f t="shared" si="23"/>
        <v>323.64587804954999</v>
      </c>
      <c r="P508" s="186">
        <f t="shared" si="24"/>
        <v>100.37741028726973</v>
      </c>
      <c r="Q508" s="215">
        <f>IF(P508="-",0,P508/(1+'General inputs'!$H$30)^'MP Calculations'!$C$40)</f>
        <v>222.96723787871687</v>
      </c>
    </row>
    <row r="509" spans="3:17" x14ac:dyDescent="0.25">
      <c r="C509" s="159"/>
      <c r="D509" s="165" t="s">
        <v>283</v>
      </c>
      <c r="E509" s="162">
        <v>32143</v>
      </c>
      <c r="F509" s="166" t="str">
        <f t="shared" si="22"/>
        <v>Date check - OK</v>
      </c>
      <c r="G509" s="68"/>
      <c r="H509" s="162" t="s">
        <v>279</v>
      </c>
      <c r="I509" s="173">
        <v>89592.114709699614</v>
      </c>
      <c r="J509" s="168">
        <f>IFERROR(MIN('MP Calculations'!$E$30/I509,1),"-")</f>
        <v>0.31014580161562261</v>
      </c>
      <c r="K509" s="12"/>
      <c r="L509" s="159">
        <v>5.4076930000000001</v>
      </c>
      <c r="M509" s="187" t="s">
        <v>408</v>
      </c>
      <c r="N509" s="187">
        <v>480.89954999999998</v>
      </c>
      <c r="O509" s="186">
        <f t="shared" si="23"/>
        <v>2600.55713023815</v>
      </c>
      <c r="P509" s="186">
        <f t="shared" si="24"/>
        <v>806.55187580493407</v>
      </c>
      <c r="Q509" s="215">
        <f>IF(P509="-",0,P509/(1+'General inputs'!$H$30)^'MP Calculations'!$C$40)</f>
        <v>1791.5848141474855</v>
      </c>
    </row>
    <row r="510" spans="3:17" x14ac:dyDescent="0.25">
      <c r="C510" s="159"/>
      <c r="D510" s="165" t="s">
        <v>283</v>
      </c>
      <c r="E510" s="162">
        <v>32143</v>
      </c>
      <c r="F510" s="166" t="str">
        <f t="shared" si="22"/>
        <v>Date check - OK</v>
      </c>
      <c r="G510" s="68"/>
      <c r="H510" s="162" t="s">
        <v>279</v>
      </c>
      <c r="I510" s="173">
        <v>89592.114709699614</v>
      </c>
      <c r="J510" s="168">
        <f>IFERROR(MIN('MP Calculations'!$E$30/I510,1),"-")</f>
        <v>0.31014580161562261</v>
      </c>
      <c r="K510" s="12"/>
      <c r="L510" s="159">
        <v>7.6176849999999998</v>
      </c>
      <c r="M510" s="187" t="s">
        <v>408</v>
      </c>
      <c r="N510" s="187">
        <v>480.89954999999998</v>
      </c>
      <c r="O510" s="186">
        <f t="shared" si="23"/>
        <v>3663.3412885417497</v>
      </c>
      <c r="P510" s="186">
        <f t="shared" si="24"/>
        <v>1136.1699205263888</v>
      </c>
      <c r="Q510" s="215">
        <f>IF(P510="-",0,P510/(1+'General inputs'!$H$30)^'MP Calculations'!$C$40)</f>
        <v>2523.7617529247846</v>
      </c>
    </row>
    <row r="511" spans="3:17" x14ac:dyDescent="0.25">
      <c r="C511" s="159"/>
      <c r="D511" s="165" t="s">
        <v>283</v>
      </c>
      <c r="E511" s="162">
        <v>32143</v>
      </c>
      <c r="F511" s="166" t="str">
        <f t="shared" si="22"/>
        <v>Date check - OK</v>
      </c>
      <c r="G511" s="68"/>
      <c r="H511" s="162" t="s">
        <v>279</v>
      </c>
      <c r="I511" s="173">
        <v>89592.114709699614</v>
      </c>
      <c r="J511" s="168">
        <f>IFERROR(MIN('MP Calculations'!$E$30/I511,1),"-")</f>
        <v>0.31014580161562261</v>
      </c>
      <c r="K511" s="12"/>
      <c r="L511" s="159">
        <v>6.3620960000000002</v>
      </c>
      <c r="M511" s="187" t="s">
        <v>408</v>
      </c>
      <c r="N511" s="187">
        <v>480.89954999999998</v>
      </c>
      <c r="O511" s="186">
        <f t="shared" si="23"/>
        <v>3059.5291034567999</v>
      </c>
      <c r="P511" s="186">
        <f t="shared" si="24"/>
        <v>948.90010635793635</v>
      </c>
      <c r="Q511" s="215">
        <f>IF(P511="-",0,P511/(1+'General inputs'!$H$30)^'MP Calculations'!$C$40)</f>
        <v>2107.7813736372354</v>
      </c>
    </row>
    <row r="512" spans="3:17" x14ac:dyDescent="0.25">
      <c r="C512" s="159"/>
      <c r="D512" s="165" t="s">
        <v>283</v>
      </c>
      <c r="E512" s="162">
        <v>32143</v>
      </c>
      <c r="F512" s="166" t="str">
        <f t="shared" si="22"/>
        <v>Date check - OK</v>
      </c>
      <c r="G512" s="68"/>
      <c r="H512" s="162" t="s">
        <v>279</v>
      </c>
      <c r="I512" s="173">
        <v>89592.114709699614</v>
      </c>
      <c r="J512" s="168">
        <f>IFERROR(MIN('MP Calculations'!$E$30/I512,1),"-")</f>
        <v>0.31014580161562261</v>
      </c>
      <c r="K512" s="12"/>
      <c r="L512" s="159">
        <v>22.467091</v>
      </c>
      <c r="M512" s="187" t="s">
        <v>408</v>
      </c>
      <c r="N512" s="187">
        <v>480.89954999999998</v>
      </c>
      <c r="O512" s="186">
        <f t="shared" si="23"/>
        <v>10804.41395170905</v>
      </c>
      <c r="P512" s="186">
        <f t="shared" si="24"/>
        <v>3350.9436260398202</v>
      </c>
      <c r="Q512" s="215">
        <f>IF(P512="-",0,P512/(1+'General inputs'!$H$30)^'MP Calculations'!$C$40)</f>
        <v>7443.414234807643</v>
      </c>
    </row>
    <row r="513" spans="3:17" x14ac:dyDescent="0.25">
      <c r="C513" s="159"/>
      <c r="D513" s="165" t="s">
        <v>283</v>
      </c>
      <c r="E513" s="162">
        <v>32143</v>
      </c>
      <c r="F513" s="166" t="str">
        <f t="shared" si="22"/>
        <v>Date check - OK</v>
      </c>
      <c r="G513" s="68"/>
      <c r="H513" s="162" t="s">
        <v>279</v>
      </c>
      <c r="I513" s="173">
        <v>89592.114709699614</v>
      </c>
      <c r="J513" s="168">
        <f>IFERROR(MIN('MP Calculations'!$E$30/I513,1),"-")</f>
        <v>0.31014580161562261</v>
      </c>
      <c r="K513" s="12"/>
      <c r="L513" s="159">
        <v>46.947876999999998</v>
      </c>
      <c r="M513" s="187" t="s">
        <v>408</v>
      </c>
      <c r="N513" s="187">
        <v>480.89954999999998</v>
      </c>
      <c r="O513" s="186">
        <f t="shared" si="23"/>
        <v>22577.212922755349</v>
      </c>
      <c r="P513" s="186">
        <f t="shared" si="24"/>
        <v>7002.2278001745517</v>
      </c>
      <c r="Q513" s="215">
        <f>IF(P513="-",0,P513/(1+'General inputs'!$H$30)^'MP Calculations'!$C$40)</f>
        <v>15553.971627025428</v>
      </c>
    </row>
    <row r="514" spans="3:17" x14ac:dyDescent="0.25">
      <c r="C514" s="159"/>
      <c r="D514" s="165" t="s">
        <v>283</v>
      </c>
      <c r="E514" s="162">
        <v>32143</v>
      </c>
      <c r="F514" s="166" t="str">
        <f t="shared" si="22"/>
        <v>Date check - OK</v>
      </c>
      <c r="G514" s="68"/>
      <c r="H514" s="162" t="s">
        <v>279</v>
      </c>
      <c r="I514" s="173">
        <v>89592.114709699614</v>
      </c>
      <c r="J514" s="168">
        <f>IFERROR(MIN('MP Calculations'!$E$30/I514,1),"-")</f>
        <v>0.31014580161562261</v>
      </c>
      <c r="K514" s="12"/>
      <c r="L514" s="159">
        <v>13.943270999999999</v>
      </c>
      <c r="M514" s="187" t="s">
        <v>408</v>
      </c>
      <c r="N514" s="187">
        <v>480.89954999999998</v>
      </c>
      <c r="O514" s="186">
        <f t="shared" si="23"/>
        <v>6705.3127494280498</v>
      </c>
      <c r="P514" s="186">
        <f t="shared" si="24"/>
        <v>2079.6245977548169</v>
      </c>
      <c r="Q514" s="215">
        <f>IF(P514="-",0,P514/(1+'General inputs'!$H$30)^'MP Calculations'!$C$40)</f>
        <v>4619.4472547060323</v>
      </c>
    </row>
    <row r="515" spans="3:17" x14ac:dyDescent="0.25">
      <c r="C515" s="159"/>
      <c r="D515" s="165" t="s">
        <v>283</v>
      </c>
      <c r="E515" s="162">
        <v>32143</v>
      </c>
      <c r="F515" s="166" t="str">
        <f t="shared" si="22"/>
        <v>Date check - OK</v>
      </c>
      <c r="G515" s="68"/>
      <c r="H515" s="162" t="s">
        <v>279</v>
      </c>
      <c r="I515" s="173">
        <v>89592.114709699614</v>
      </c>
      <c r="J515" s="168">
        <f>IFERROR(MIN('MP Calculations'!$E$30/I515,1),"-")</f>
        <v>0.31014580161562261</v>
      </c>
      <c r="K515" s="12"/>
      <c r="L515" s="159">
        <v>6.5593250000000003</v>
      </c>
      <c r="M515" s="187" t="s">
        <v>408</v>
      </c>
      <c r="N515" s="187">
        <v>480.89954999999998</v>
      </c>
      <c r="O515" s="186">
        <f t="shared" si="23"/>
        <v>3154.37644080375</v>
      </c>
      <c r="P515" s="186">
        <f t="shared" si="24"/>
        <v>978.31660983051358</v>
      </c>
      <c r="Q515" s="215">
        <f>IF(P515="-",0,P515/(1+'General inputs'!$H$30)^'MP Calculations'!$C$40)</f>
        <v>2173.1239293831873</v>
      </c>
    </row>
    <row r="516" spans="3:17" x14ac:dyDescent="0.25">
      <c r="C516" s="159"/>
      <c r="D516" s="165" t="s">
        <v>283</v>
      </c>
      <c r="E516" s="162">
        <v>32143</v>
      </c>
      <c r="F516" s="166" t="str">
        <f t="shared" si="22"/>
        <v>Date check - OK</v>
      </c>
      <c r="G516" s="68"/>
      <c r="H516" s="162" t="s">
        <v>279</v>
      </c>
      <c r="I516" s="173">
        <v>89592.114709699614</v>
      </c>
      <c r="J516" s="168">
        <f>IFERROR(MIN('MP Calculations'!$E$30/I516,1),"-")</f>
        <v>0.31014580161562261</v>
      </c>
      <c r="K516" s="12"/>
      <c r="L516" s="159">
        <v>0.92123900000000003</v>
      </c>
      <c r="M516" s="187" t="s">
        <v>408</v>
      </c>
      <c r="N516" s="187">
        <v>480.89954999999998</v>
      </c>
      <c r="O516" s="186">
        <f t="shared" si="23"/>
        <v>443.02342054244997</v>
      </c>
      <c r="P516" s="186">
        <f t="shared" si="24"/>
        <v>137.40185389863322</v>
      </c>
      <c r="Q516" s="215">
        <f>IF(P516="-",0,P516/(1+'General inputs'!$H$30)^'MP Calculations'!$C$40)</f>
        <v>305.20922740999077</v>
      </c>
    </row>
    <row r="517" spans="3:17" x14ac:dyDescent="0.25">
      <c r="C517" s="159"/>
      <c r="D517" s="165" t="s">
        <v>283</v>
      </c>
      <c r="E517" s="162">
        <v>32143</v>
      </c>
      <c r="F517" s="166" t="str">
        <f t="shared" si="22"/>
        <v>Date check - OK</v>
      </c>
      <c r="G517" s="68"/>
      <c r="H517" s="162" t="s">
        <v>279</v>
      </c>
      <c r="I517" s="173">
        <v>89592.114709699614</v>
      </c>
      <c r="J517" s="168">
        <f>IFERROR(MIN('MP Calculations'!$E$30/I517,1),"-")</f>
        <v>0.31014580161562261</v>
      </c>
      <c r="K517" s="12"/>
      <c r="L517" s="159">
        <v>11.553601</v>
      </c>
      <c r="M517" s="187" t="s">
        <v>408</v>
      </c>
      <c r="N517" s="187">
        <v>480.89954999999998</v>
      </c>
      <c r="O517" s="186">
        <f t="shared" si="23"/>
        <v>5556.1215217795498</v>
      </c>
      <c r="P517" s="186">
        <f t="shared" si="24"/>
        <v>1723.2077632461314</v>
      </c>
      <c r="Q517" s="215">
        <f>IF(P517="-",0,P517/(1+'General inputs'!$H$30)^'MP Calculations'!$C$40)</f>
        <v>3827.7424588117715</v>
      </c>
    </row>
    <row r="518" spans="3:17" x14ac:dyDescent="0.25">
      <c r="C518" s="159"/>
      <c r="D518" s="165" t="s">
        <v>283</v>
      </c>
      <c r="E518" s="162">
        <v>32143</v>
      </c>
      <c r="F518" s="166" t="str">
        <f t="shared" si="22"/>
        <v>Date check - OK</v>
      </c>
      <c r="G518" s="68"/>
      <c r="H518" s="162" t="s">
        <v>279</v>
      </c>
      <c r="I518" s="173">
        <v>89592.114709699614</v>
      </c>
      <c r="J518" s="168">
        <f>IFERROR(MIN('MP Calculations'!$E$30/I518,1),"-")</f>
        <v>0.31014580161562261</v>
      </c>
      <c r="K518" s="12"/>
      <c r="L518" s="159">
        <v>15.165625</v>
      </c>
      <c r="M518" s="187" t="s">
        <v>408</v>
      </c>
      <c r="N518" s="187">
        <v>480.89954999999998</v>
      </c>
      <c r="O518" s="186">
        <f t="shared" si="23"/>
        <v>7293.1422379687501</v>
      </c>
      <c r="P518" s="186">
        <f t="shared" si="24"/>
        <v>2261.9374456915739</v>
      </c>
      <c r="Q518" s="215">
        <f>IF(P518="-",0,P518/(1+'General inputs'!$H$30)^'MP Calculations'!$C$40)</f>
        <v>5024.4167794021341</v>
      </c>
    </row>
    <row r="519" spans="3:17" x14ac:dyDescent="0.25">
      <c r="C519" s="159"/>
      <c r="D519" s="165" t="s">
        <v>283</v>
      </c>
      <c r="E519" s="162">
        <v>32143</v>
      </c>
      <c r="F519" s="166" t="str">
        <f t="shared" si="22"/>
        <v>Date check - OK</v>
      </c>
      <c r="G519" s="68"/>
      <c r="H519" s="162" t="s">
        <v>279</v>
      </c>
      <c r="I519" s="173">
        <v>89592.114709699614</v>
      </c>
      <c r="J519" s="168">
        <f>IFERROR(MIN('MP Calculations'!$E$30/I519,1),"-")</f>
        <v>0.31014580161562261</v>
      </c>
      <c r="K519" s="12"/>
      <c r="L519" s="159">
        <v>1.72078</v>
      </c>
      <c r="M519" s="187" t="s">
        <v>408</v>
      </c>
      <c r="N519" s="187">
        <v>480.89954999999998</v>
      </c>
      <c r="O519" s="186">
        <f t="shared" si="23"/>
        <v>827.52232764899998</v>
      </c>
      <c r="P519" s="186">
        <f t="shared" si="24"/>
        <v>256.652575663525</v>
      </c>
      <c r="Q519" s="215">
        <f>IF(P519="-",0,P519/(1+'General inputs'!$H$30)^'MP Calculations'!$C$40)</f>
        <v>570.09954457265053</v>
      </c>
    </row>
    <row r="520" spans="3:17" x14ac:dyDescent="0.25">
      <c r="C520" s="159"/>
      <c r="D520" s="165" t="s">
        <v>283</v>
      </c>
      <c r="E520" s="162">
        <v>32143</v>
      </c>
      <c r="F520" s="166" t="str">
        <f t="shared" si="22"/>
        <v>Date check - OK</v>
      </c>
      <c r="G520" s="68"/>
      <c r="H520" s="162" t="s">
        <v>279</v>
      </c>
      <c r="I520" s="173">
        <v>89592.114709699614</v>
      </c>
      <c r="J520" s="168">
        <f>IFERROR(MIN('MP Calculations'!$E$30/I520,1),"-")</f>
        <v>0.31014580161562261</v>
      </c>
      <c r="K520" s="12"/>
      <c r="L520" s="159">
        <v>17.886282999999999</v>
      </c>
      <c r="M520" s="187" t="s">
        <v>408</v>
      </c>
      <c r="N520" s="187">
        <v>480.89954999999998</v>
      </c>
      <c r="O520" s="186">
        <f t="shared" si="23"/>
        <v>8601.5054458726481</v>
      </c>
      <c r="P520" s="186">
        <f t="shared" si="24"/>
        <v>2667.7208016113159</v>
      </c>
      <c r="Q520" s="215">
        <f>IF(P520="-",0,P520/(1+'General inputs'!$H$30)^'MP Calculations'!$C$40)</f>
        <v>5925.7788865500179</v>
      </c>
    </row>
    <row r="521" spans="3:17" x14ac:dyDescent="0.25">
      <c r="C521" s="159"/>
      <c r="D521" s="165" t="s">
        <v>283</v>
      </c>
      <c r="E521" s="162">
        <v>32143</v>
      </c>
      <c r="F521" s="166" t="str">
        <f t="shared" si="22"/>
        <v>Date check - OK</v>
      </c>
      <c r="G521" s="68"/>
      <c r="H521" s="162" t="s">
        <v>279</v>
      </c>
      <c r="I521" s="173">
        <v>89592.114709699614</v>
      </c>
      <c r="J521" s="168">
        <f>IFERROR(MIN('MP Calculations'!$E$30/I521,1),"-")</f>
        <v>0.31014580161562261</v>
      </c>
      <c r="K521" s="12"/>
      <c r="L521" s="159">
        <v>10.835139</v>
      </c>
      <c r="M521" s="187" t="s">
        <v>408</v>
      </c>
      <c r="N521" s="187">
        <v>480.89954999999998</v>
      </c>
      <c r="O521" s="186">
        <f t="shared" si="23"/>
        <v>5210.6134692874493</v>
      </c>
      <c r="P521" s="186">
        <f t="shared" si="24"/>
        <v>1616.0498913413164</v>
      </c>
      <c r="Q521" s="215">
        <f>IF(P521="-",0,P521/(1+'General inputs'!$H$30)^'MP Calculations'!$C$40)</f>
        <v>3589.7138560893109</v>
      </c>
    </row>
    <row r="522" spans="3:17" x14ac:dyDescent="0.25">
      <c r="C522" s="159"/>
      <c r="D522" s="165" t="s">
        <v>283</v>
      </c>
      <c r="E522" s="162">
        <v>32143</v>
      </c>
      <c r="F522" s="166" t="str">
        <f t="shared" si="22"/>
        <v>Date check - OK</v>
      </c>
      <c r="G522" s="68"/>
      <c r="H522" s="162" t="s">
        <v>279</v>
      </c>
      <c r="I522" s="173">
        <v>89592.114709699614</v>
      </c>
      <c r="J522" s="168">
        <f>IFERROR(MIN('MP Calculations'!$E$30/I522,1),"-")</f>
        <v>0.31014580161562261</v>
      </c>
      <c r="K522" s="12"/>
      <c r="L522" s="159">
        <v>32.837643</v>
      </c>
      <c r="M522" s="187" t="s">
        <v>408</v>
      </c>
      <c r="N522" s="187">
        <v>480.89954999999998</v>
      </c>
      <c r="O522" s="186">
        <f t="shared" si="23"/>
        <v>15791.607741760648</v>
      </c>
      <c r="P522" s="186">
        <f t="shared" si="24"/>
        <v>4897.7008418678279</v>
      </c>
      <c r="Q522" s="215">
        <f>IF(P522="-",0,P522/(1+'General inputs'!$H$30)^'MP Calculations'!$C$40)</f>
        <v>10879.209032612702</v>
      </c>
    </row>
    <row r="523" spans="3:17" x14ac:dyDescent="0.25">
      <c r="C523" s="159"/>
      <c r="D523" s="165" t="s">
        <v>283</v>
      </c>
      <c r="E523" s="162">
        <v>32143</v>
      </c>
      <c r="F523" s="166" t="str">
        <f t="shared" si="22"/>
        <v>Date check - OK</v>
      </c>
      <c r="G523" s="68"/>
      <c r="H523" s="162" t="s">
        <v>279</v>
      </c>
      <c r="I523" s="173">
        <v>89592.114709699614</v>
      </c>
      <c r="J523" s="168">
        <f>IFERROR(MIN('MP Calculations'!$E$30/I523,1),"-")</f>
        <v>0.31014580161562261</v>
      </c>
      <c r="K523" s="12"/>
      <c r="L523" s="159">
        <v>2.0046840000000001</v>
      </c>
      <c r="M523" s="187" t="s">
        <v>408</v>
      </c>
      <c r="N523" s="187">
        <v>480.89954999999998</v>
      </c>
      <c r="O523" s="186">
        <f t="shared" si="23"/>
        <v>964.05163349220004</v>
      </c>
      <c r="P523" s="186">
        <f t="shared" si="24"/>
        <v>298.99656666828878</v>
      </c>
      <c r="Q523" s="215">
        <f>IF(P523="-",0,P523/(1+'General inputs'!$H$30)^'MP Calculations'!$C$40)</f>
        <v>664.15778624349389</v>
      </c>
    </row>
    <row r="524" spans="3:17" x14ac:dyDescent="0.25">
      <c r="C524" s="159"/>
      <c r="D524" s="165" t="s">
        <v>283</v>
      </c>
      <c r="E524" s="162">
        <v>32143</v>
      </c>
      <c r="F524" s="166" t="str">
        <f t="shared" si="22"/>
        <v>Date check - OK</v>
      </c>
      <c r="G524" s="68"/>
      <c r="H524" s="162" t="s">
        <v>279</v>
      </c>
      <c r="I524" s="173">
        <v>89592.114709699614</v>
      </c>
      <c r="J524" s="168">
        <f>IFERROR(MIN('MP Calculations'!$E$30/I524,1),"-")</f>
        <v>0.31014580161562261</v>
      </c>
      <c r="K524" s="12"/>
      <c r="L524" s="159">
        <v>5.3814209999999996</v>
      </c>
      <c r="M524" s="187" t="s">
        <v>408</v>
      </c>
      <c r="N524" s="187">
        <v>480.89954999999998</v>
      </c>
      <c r="O524" s="186">
        <f t="shared" si="23"/>
        <v>2587.9229372605496</v>
      </c>
      <c r="P524" s="186">
        <f t="shared" si="24"/>
        <v>802.63343389612976</v>
      </c>
      <c r="Q524" s="215">
        <f>IF(P524="-",0,P524/(1+'General inputs'!$H$30)^'MP Calculations'!$C$40)</f>
        <v>1782.8808222164932</v>
      </c>
    </row>
    <row r="525" spans="3:17" x14ac:dyDescent="0.25">
      <c r="C525" s="159"/>
      <c r="D525" s="165" t="s">
        <v>283</v>
      </c>
      <c r="E525" s="162">
        <v>32143</v>
      </c>
      <c r="F525" s="166" t="str">
        <f t="shared" si="22"/>
        <v>Date check - OK</v>
      </c>
      <c r="G525" s="68"/>
      <c r="H525" s="162" t="s">
        <v>279</v>
      </c>
      <c r="I525" s="173">
        <v>89592.114709699614</v>
      </c>
      <c r="J525" s="168">
        <f>IFERROR(MIN('MP Calculations'!$E$30/I525,1),"-")</f>
        <v>0.31014580161562261</v>
      </c>
      <c r="K525" s="12"/>
      <c r="L525" s="159">
        <v>73.754356000000001</v>
      </c>
      <c r="M525" s="187" t="s">
        <v>408</v>
      </c>
      <c r="N525" s="187">
        <v>480.89954999999998</v>
      </c>
      <c r="O525" s="186">
        <f t="shared" si="23"/>
        <v>35468.436610939796</v>
      </c>
      <c r="P525" s="186">
        <f t="shared" si="24"/>
        <v>11000.38670475282</v>
      </c>
      <c r="Q525" s="215">
        <f>IF(P525="-",0,P525/(1+'General inputs'!$H$30)^'MP Calculations'!$C$40)</f>
        <v>24435.03804428755</v>
      </c>
    </row>
    <row r="526" spans="3:17" x14ac:dyDescent="0.25">
      <c r="C526" s="159"/>
      <c r="D526" s="165" t="s">
        <v>283</v>
      </c>
      <c r="E526" s="162">
        <v>32143</v>
      </c>
      <c r="F526" s="166" t="str">
        <f t="shared" si="22"/>
        <v>Date check - OK</v>
      </c>
      <c r="G526" s="68"/>
      <c r="H526" s="162" t="s">
        <v>279</v>
      </c>
      <c r="I526" s="173">
        <v>89592.114709699614</v>
      </c>
      <c r="J526" s="168">
        <f>IFERROR(MIN('MP Calculations'!$E$30/I526,1),"-")</f>
        <v>0.31014580161562261</v>
      </c>
      <c r="K526" s="12"/>
      <c r="L526" s="159">
        <v>53.873784999999998</v>
      </c>
      <c r="M526" s="187" t="s">
        <v>408</v>
      </c>
      <c r="N526" s="187">
        <v>480.89954999999998</v>
      </c>
      <c r="O526" s="186">
        <f t="shared" si="23"/>
        <v>25907.878963296749</v>
      </c>
      <c r="P526" s="186">
        <f t="shared" si="24"/>
        <v>8035.2198892321958</v>
      </c>
      <c r="Q526" s="215">
        <f>IF(P526="-",0,P526/(1+'General inputs'!$H$30)^'MP Calculations'!$C$40)</f>
        <v>17848.545597290118</v>
      </c>
    </row>
    <row r="527" spans="3:17" x14ac:dyDescent="0.25">
      <c r="C527" s="159"/>
      <c r="D527" s="165" t="s">
        <v>283</v>
      </c>
      <c r="E527" s="162">
        <v>32143</v>
      </c>
      <c r="F527" s="166" t="str">
        <f t="shared" si="22"/>
        <v>Date check - OK</v>
      </c>
      <c r="G527" s="68"/>
      <c r="H527" s="162" t="s">
        <v>279</v>
      </c>
      <c r="I527" s="173">
        <v>89592.114709699614</v>
      </c>
      <c r="J527" s="168">
        <f>IFERROR(MIN('MP Calculations'!$E$30/I527,1),"-")</f>
        <v>0.31014580161562261</v>
      </c>
      <c r="K527" s="12"/>
      <c r="L527" s="159">
        <v>1.7546040000000001</v>
      </c>
      <c r="M527" s="187" t="s">
        <v>408</v>
      </c>
      <c r="N527" s="187">
        <v>480.89954999999998</v>
      </c>
      <c r="O527" s="186">
        <f t="shared" si="23"/>
        <v>843.78827402820002</v>
      </c>
      <c r="P527" s="186">
        <f t="shared" si="24"/>
        <v>261.69739064233875</v>
      </c>
      <c r="Q527" s="215">
        <f>IF(P527="-",0,P527/(1+'General inputs'!$H$30)^'MP Calculations'!$C$40)</f>
        <v>581.30553662022521</v>
      </c>
    </row>
    <row r="528" spans="3:17" x14ac:dyDescent="0.25">
      <c r="C528" s="159"/>
      <c r="D528" s="165" t="s">
        <v>283</v>
      </c>
      <c r="E528" s="162">
        <v>32143</v>
      </c>
      <c r="F528" s="166" t="str">
        <f t="shared" si="22"/>
        <v>Date check - OK</v>
      </c>
      <c r="G528" s="68"/>
      <c r="H528" s="162" t="s">
        <v>279</v>
      </c>
      <c r="I528" s="173">
        <v>89592.114709699614</v>
      </c>
      <c r="J528" s="168">
        <f>IFERROR(MIN('MP Calculations'!$E$30/I528,1),"-")</f>
        <v>0.31014580161562261</v>
      </c>
      <c r="K528" s="12"/>
      <c r="L528" s="159">
        <v>28.168149</v>
      </c>
      <c r="M528" s="187" t="s">
        <v>408</v>
      </c>
      <c r="N528" s="187">
        <v>480.89954999999998</v>
      </c>
      <c r="O528" s="186">
        <f t="shared" si="23"/>
        <v>13546.05017843295</v>
      </c>
      <c r="P528" s="186">
        <f t="shared" si="24"/>
        <v>4201.2505913155346</v>
      </c>
      <c r="Q528" s="215">
        <f>IF(P528="-",0,P528/(1+'General inputs'!$H$30)^'MP Calculations'!$C$40)</f>
        <v>9332.1917481343116</v>
      </c>
    </row>
    <row r="529" spans="3:17" x14ac:dyDescent="0.25">
      <c r="C529" s="159"/>
      <c r="D529" s="165" t="s">
        <v>283</v>
      </c>
      <c r="E529" s="162">
        <v>32143</v>
      </c>
      <c r="F529" s="166" t="str">
        <f t="shared" si="22"/>
        <v>Date check - OK</v>
      </c>
      <c r="G529" s="68"/>
      <c r="H529" s="162" t="s">
        <v>279</v>
      </c>
      <c r="I529" s="173">
        <v>89592.114709699614</v>
      </c>
      <c r="J529" s="168">
        <f>IFERROR(MIN('MP Calculations'!$E$30/I529,1),"-")</f>
        <v>0.31014580161562261</v>
      </c>
      <c r="K529" s="12"/>
      <c r="L529" s="159">
        <v>37.644975000000002</v>
      </c>
      <c r="M529" s="187" t="s">
        <v>408</v>
      </c>
      <c r="N529" s="187">
        <v>480.89954999999998</v>
      </c>
      <c r="O529" s="186">
        <f t="shared" si="23"/>
        <v>18103.451537261251</v>
      </c>
      <c r="P529" s="186">
        <f t="shared" si="24"/>
        <v>5614.7094890334665</v>
      </c>
      <c r="Q529" s="215">
        <f>IF(P529="-",0,P529/(1+'General inputs'!$H$30)^'MP Calculations'!$C$40)</f>
        <v>12471.892457460464</v>
      </c>
    </row>
    <row r="530" spans="3:17" x14ac:dyDescent="0.25">
      <c r="C530" s="159"/>
      <c r="D530" s="165" t="s">
        <v>283</v>
      </c>
      <c r="E530" s="162">
        <v>32143</v>
      </c>
      <c r="F530" s="166" t="str">
        <f t="shared" si="22"/>
        <v>Date check - OK</v>
      </c>
      <c r="G530" s="68"/>
      <c r="H530" s="162" t="s">
        <v>279</v>
      </c>
      <c r="I530" s="173">
        <v>89592.114709699614</v>
      </c>
      <c r="J530" s="168">
        <f>IFERROR(MIN('MP Calculations'!$E$30/I530,1),"-")</f>
        <v>0.31014580161562261</v>
      </c>
      <c r="K530" s="12"/>
      <c r="L530" s="159">
        <v>24.604410999999999</v>
      </c>
      <c r="M530" s="187" t="s">
        <v>408</v>
      </c>
      <c r="N530" s="187">
        <v>480.89954999999998</v>
      </c>
      <c r="O530" s="186">
        <f t="shared" si="23"/>
        <v>11832.25017791505</v>
      </c>
      <c r="P530" s="186">
        <f t="shared" si="24"/>
        <v>3669.7227163460561</v>
      </c>
      <c r="Q530" s="215">
        <f>IF(P530="-",0,P530/(1+'General inputs'!$H$30)^'MP Calculations'!$C$40)</f>
        <v>8151.5147233105408</v>
      </c>
    </row>
    <row r="531" spans="3:17" x14ac:dyDescent="0.25">
      <c r="C531" s="159"/>
      <c r="D531" s="165" t="s">
        <v>283</v>
      </c>
      <c r="E531" s="162">
        <v>32143</v>
      </c>
      <c r="F531" s="166" t="str">
        <f t="shared" si="22"/>
        <v>Date check - OK</v>
      </c>
      <c r="G531" s="68"/>
      <c r="H531" s="162" t="s">
        <v>279</v>
      </c>
      <c r="I531" s="173">
        <v>89592.114709699614</v>
      </c>
      <c r="J531" s="168">
        <f>IFERROR(MIN('MP Calculations'!$E$30/I531,1),"-")</f>
        <v>0.31014580161562261</v>
      </c>
      <c r="K531" s="12"/>
      <c r="L531" s="159">
        <v>3.2995070000000002</v>
      </c>
      <c r="M531" s="187" t="s">
        <v>408</v>
      </c>
      <c r="N531" s="187">
        <v>480.89954999999998</v>
      </c>
      <c r="O531" s="186">
        <f t="shared" si="23"/>
        <v>1586.73143152185</v>
      </c>
      <c r="P531" s="186">
        <f t="shared" si="24"/>
        <v>492.11809177804855</v>
      </c>
      <c r="Q531" s="215">
        <f>IF(P531="-",0,P531/(1+'General inputs'!$H$30)^'MP Calculations'!$C$40)</f>
        <v>1093.136506708744</v>
      </c>
    </row>
    <row r="532" spans="3:17" x14ac:dyDescent="0.25">
      <c r="C532" s="159"/>
      <c r="D532" s="165" t="s">
        <v>283</v>
      </c>
      <c r="E532" s="162">
        <v>32143</v>
      </c>
      <c r="F532" s="166" t="str">
        <f t="shared" si="22"/>
        <v>Date check - OK</v>
      </c>
      <c r="G532" s="68"/>
      <c r="H532" s="162" t="s">
        <v>279</v>
      </c>
      <c r="I532" s="173">
        <v>89592.114709699614</v>
      </c>
      <c r="J532" s="168">
        <f>IFERROR(MIN('MP Calculations'!$E$30/I532,1),"-")</f>
        <v>0.31014580161562261</v>
      </c>
      <c r="K532" s="12"/>
      <c r="L532" s="159">
        <v>31.859539999999999</v>
      </c>
      <c r="M532" s="187" t="s">
        <v>408</v>
      </c>
      <c r="N532" s="187">
        <v>480.89954999999998</v>
      </c>
      <c r="O532" s="186">
        <f t="shared" si="23"/>
        <v>15321.238449207</v>
      </c>
      <c r="P532" s="186">
        <f t="shared" si="24"/>
        <v>4751.8177805734031</v>
      </c>
      <c r="Q532" s="215">
        <f>IF(P532="-",0,P532/(1+'General inputs'!$H$30)^'MP Calculations'!$C$40)</f>
        <v>10555.160592460477</v>
      </c>
    </row>
    <row r="533" spans="3:17" x14ac:dyDescent="0.25">
      <c r="C533" s="159"/>
      <c r="D533" s="165" t="s">
        <v>283</v>
      </c>
      <c r="E533" s="162">
        <v>32143</v>
      </c>
      <c r="F533" s="166" t="str">
        <f t="shared" si="22"/>
        <v>Date check - OK</v>
      </c>
      <c r="G533" s="68"/>
      <c r="H533" s="162" t="s">
        <v>279</v>
      </c>
      <c r="I533" s="173">
        <v>89592.114709699614</v>
      </c>
      <c r="J533" s="168">
        <f>IFERROR(MIN('MP Calculations'!$E$30/I533,1),"-")</f>
        <v>0.31014580161562261</v>
      </c>
      <c r="K533" s="12"/>
      <c r="L533" s="159">
        <v>4.6636730000000002</v>
      </c>
      <c r="M533" s="187" t="s">
        <v>408</v>
      </c>
      <c r="N533" s="187">
        <v>480.89954999999998</v>
      </c>
      <c r="O533" s="186">
        <f t="shared" si="23"/>
        <v>2242.7582470471498</v>
      </c>
      <c r="P533" s="186">
        <f t="shared" si="24"/>
        <v>695.58205436048684</v>
      </c>
      <c r="Q533" s="215">
        <f>IF(P533="-",0,P533/(1+'General inputs'!$H$30)^'MP Calculations'!$C$40)</f>
        <v>1545.0887698228516</v>
      </c>
    </row>
    <row r="534" spans="3:17" x14ac:dyDescent="0.25">
      <c r="C534" s="159"/>
      <c r="D534" s="165" t="s">
        <v>283</v>
      </c>
      <c r="E534" s="162">
        <v>32143</v>
      </c>
      <c r="F534" s="166" t="str">
        <f t="shared" si="22"/>
        <v>Date check - OK</v>
      </c>
      <c r="G534" s="68"/>
      <c r="H534" s="162" t="s">
        <v>279</v>
      </c>
      <c r="I534" s="173">
        <v>89592.114709699614</v>
      </c>
      <c r="J534" s="168">
        <f>IFERROR(MIN('MP Calculations'!$E$30/I534,1),"-")</f>
        <v>0.31014580161562261</v>
      </c>
      <c r="K534" s="12"/>
      <c r="L534" s="159">
        <v>1.1870860000000001</v>
      </c>
      <c r="M534" s="187" t="s">
        <v>408</v>
      </c>
      <c r="N534" s="187">
        <v>480.89954999999998</v>
      </c>
      <c r="O534" s="186">
        <f t="shared" si="23"/>
        <v>570.86912321130001</v>
      </c>
      <c r="P534" s="186">
        <f t="shared" si="24"/>
        <v>177.05266183597627</v>
      </c>
      <c r="Q534" s="215">
        <f>IF(P534="-",0,P534/(1+'General inputs'!$H$30)^'MP Calculations'!$C$40)</f>
        <v>393.28513114318474</v>
      </c>
    </row>
    <row r="535" spans="3:17" x14ac:dyDescent="0.25">
      <c r="C535" s="159"/>
      <c r="D535" s="165" t="s">
        <v>283</v>
      </c>
      <c r="E535" s="162">
        <v>32143</v>
      </c>
      <c r="F535" s="166" t="str">
        <f t="shared" ref="F535:F598" si="25">IF(E535="","-",IF(OR(E535&lt;$E$15,E535&gt;$E$16),"ERROR - date outside of range","Date check - OK"))</f>
        <v>Date check - OK</v>
      </c>
      <c r="G535" s="68"/>
      <c r="H535" s="162" t="s">
        <v>279</v>
      </c>
      <c r="I535" s="173">
        <v>89592.114709699614</v>
      </c>
      <c r="J535" s="168">
        <f>IFERROR(MIN('MP Calculations'!$E$30/I535,1),"-")</f>
        <v>0.31014580161562261</v>
      </c>
      <c r="K535" s="12"/>
      <c r="L535" s="159">
        <v>2.4719419999999999</v>
      </c>
      <c r="M535" s="187" t="s">
        <v>408</v>
      </c>
      <c r="N535" s="187">
        <v>480.89954999999998</v>
      </c>
      <c r="O535" s="186">
        <f t="shared" ref="O535:O598" si="26">IF(N535="","-",L535*N535)</f>
        <v>1188.7557954260999</v>
      </c>
      <c r="P535" s="186">
        <f t="shared" ref="P535:P598" si="27">IF(O535="-","-",IF(OR(E535&lt;$E$15,E535&gt;$E$16),0,O535*J535))</f>
        <v>368.68761909764481</v>
      </c>
      <c r="Q535" s="215">
        <f>IF(P535="-",0,P535/(1+'General inputs'!$H$30)^'MP Calculations'!$C$40)</f>
        <v>818.96175479143574</v>
      </c>
    </row>
    <row r="536" spans="3:17" x14ac:dyDescent="0.25">
      <c r="C536" s="159"/>
      <c r="D536" s="165" t="s">
        <v>335</v>
      </c>
      <c r="E536" s="162">
        <v>32509</v>
      </c>
      <c r="F536" s="166" t="str">
        <f t="shared" si="25"/>
        <v>Date check - OK</v>
      </c>
      <c r="G536" s="68"/>
      <c r="H536" s="162" t="s">
        <v>279</v>
      </c>
      <c r="I536" s="173">
        <v>89592.114709699614</v>
      </c>
      <c r="J536" s="168">
        <f>IFERROR(MIN('MP Calculations'!$E$30/I536,1),"-")</f>
        <v>0.31014580161562261</v>
      </c>
      <c r="K536" s="12"/>
      <c r="L536" s="159">
        <v>2.0990009999999999</v>
      </c>
      <c r="M536" s="187" t="s">
        <v>408</v>
      </c>
      <c r="N536" s="187">
        <v>2717.2408580000001</v>
      </c>
      <c r="O536" s="186">
        <f t="shared" si="26"/>
        <v>5703.491278182858</v>
      </c>
      <c r="P536" s="186">
        <f t="shared" si="27"/>
        <v>1768.9138744797344</v>
      </c>
      <c r="Q536" s="215">
        <f>IF(P536="-",0,P536/(1+'General inputs'!$H$30)^'MP Calculations'!$C$40)</f>
        <v>3929.2689411823403</v>
      </c>
    </row>
    <row r="537" spans="3:17" x14ac:dyDescent="0.25">
      <c r="C537" s="159"/>
      <c r="D537" s="165" t="s">
        <v>335</v>
      </c>
      <c r="E537" s="162">
        <v>32509</v>
      </c>
      <c r="F537" s="166" t="str">
        <f t="shared" si="25"/>
        <v>Date check - OK</v>
      </c>
      <c r="G537" s="68"/>
      <c r="H537" s="162" t="s">
        <v>279</v>
      </c>
      <c r="I537" s="173">
        <v>89592.114709699614</v>
      </c>
      <c r="J537" s="168">
        <f>IFERROR(MIN('MP Calculations'!$E$30/I537,1),"-")</f>
        <v>0.31014580161562261</v>
      </c>
      <c r="K537" s="12"/>
      <c r="L537" s="159">
        <v>3.0000010000000001</v>
      </c>
      <c r="M537" s="187" t="s">
        <v>408</v>
      </c>
      <c r="N537" s="187">
        <v>2717.2408580000001</v>
      </c>
      <c r="O537" s="186">
        <f t="shared" si="26"/>
        <v>8151.7252912408585</v>
      </c>
      <c r="P537" s="186">
        <f t="shared" si="27"/>
        <v>2528.2233750022406</v>
      </c>
      <c r="Q537" s="215">
        <f>IF(P537="-",0,P537/(1+'General inputs'!$H$30)^'MP Calculations'!$C$40)</f>
        <v>5615.9147865179493</v>
      </c>
    </row>
    <row r="538" spans="3:17" x14ac:dyDescent="0.25">
      <c r="C538" s="159"/>
      <c r="D538" s="165" t="s">
        <v>335</v>
      </c>
      <c r="E538" s="162">
        <v>32509</v>
      </c>
      <c r="F538" s="166" t="str">
        <f t="shared" si="25"/>
        <v>Date check - OK</v>
      </c>
      <c r="G538" s="68"/>
      <c r="H538" s="162" t="s">
        <v>279</v>
      </c>
      <c r="I538" s="173">
        <v>89592.114709699614</v>
      </c>
      <c r="J538" s="168">
        <f>IFERROR(MIN('MP Calculations'!$E$30/I538,1),"-")</f>
        <v>0.31014580161562261</v>
      </c>
      <c r="K538" s="12"/>
      <c r="L538" s="159">
        <v>2.0990009999999999</v>
      </c>
      <c r="M538" s="187" t="s">
        <v>408</v>
      </c>
      <c r="N538" s="187">
        <v>2717.2408580000001</v>
      </c>
      <c r="O538" s="186">
        <f t="shared" si="26"/>
        <v>5703.491278182858</v>
      </c>
      <c r="P538" s="186">
        <f t="shared" si="27"/>
        <v>1768.9138744797344</v>
      </c>
      <c r="Q538" s="215">
        <f>IF(P538="-",0,P538/(1+'General inputs'!$H$30)^'MP Calculations'!$C$40)</f>
        <v>3929.2689411823403</v>
      </c>
    </row>
    <row r="539" spans="3:17" x14ac:dyDescent="0.25">
      <c r="C539" s="159"/>
      <c r="D539" s="165" t="s">
        <v>335</v>
      </c>
      <c r="E539" s="162">
        <v>32509</v>
      </c>
      <c r="F539" s="166" t="str">
        <f t="shared" si="25"/>
        <v>Date check - OK</v>
      </c>
      <c r="G539" s="68"/>
      <c r="H539" s="162" t="s">
        <v>279</v>
      </c>
      <c r="I539" s="173">
        <v>89592.114709699614</v>
      </c>
      <c r="J539" s="168">
        <f>IFERROR(MIN('MP Calculations'!$E$30/I539,1),"-")</f>
        <v>0.31014580161562261</v>
      </c>
      <c r="K539" s="12"/>
      <c r="L539" s="159">
        <v>2.1</v>
      </c>
      <c r="M539" s="187" t="s">
        <v>408</v>
      </c>
      <c r="N539" s="187">
        <v>2717.2408580000001</v>
      </c>
      <c r="O539" s="186">
        <f t="shared" si="26"/>
        <v>5706.2058018000007</v>
      </c>
      <c r="P539" s="186">
        <f t="shared" si="27"/>
        <v>1769.7557725829777</v>
      </c>
      <c r="Q539" s="215">
        <f>IF(P539="-",0,P539/(1+'General inputs'!$H$30)^'MP Calculations'!$C$40)</f>
        <v>3931.1390401828849</v>
      </c>
    </row>
    <row r="540" spans="3:17" x14ac:dyDescent="0.25">
      <c r="C540" s="159"/>
      <c r="D540" s="165" t="s">
        <v>335</v>
      </c>
      <c r="E540" s="162">
        <v>32509</v>
      </c>
      <c r="F540" s="166" t="str">
        <f t="shared" si="25"/>
        <v>Date check - OK</v>
      </c>
      <c r="G540" s="68"/>
      <c r="H540" s="162" t="s">
        <v>279</v>
      </c>
      <c r="I540" s="173">
        <v>89592.114709699614</v>
      </c>
      <c r="J540" s="168">
        <f>IFERROR(MIN('MP Calculations'!$E$30/I540,1),"-")</f>
        <v>0.31014580161562261</v>
      </c>
      <c r="K540" s="12"/>
      <c r="L540" s="159">
        <v>2.098004</v>
      </c>
      <c r="M540" s="187" t="s">
        <v>408</v>
      </c>
      <c r="N540" s="187">
        <v>2717.2408580000001</v>
      </c>
      <c r="O540" s="186">
        <f t="shared" si="26"/>
        <v>5700.7821890474324</v>
      </c>
      <c r="P540" s="186">
        <f t="shared" si="27"/>
        <v>1768.0736618581798</v>
      </c>
      <c r="Q540" s="215">
        <f>IF(P540="-",0,P540/(1+'General inputs'!$H$30)^'MP Calculations'!$C$40)</f>
        <v>3927.4025861237396</v>
      </c>
    </row>
    <row r="541" spans="3:17" x14ac:dyDescent="0.25">
      <c r="C541" s="159"/>
      <c r="D541" s="165" t="s">
        <v>335</v>
      </c>
      <c r="E541" s="162">
        <v>32509</v>
      </c>
      <c r="F541" s="166" t="str">
        <f t="shared" si="25"/>
        <v>Date check - OK</v>
      </c>
      <c r="G541" s="68"/>
      <c r="H541" s="162" t="s">
        <v>279</v>
      </c>
      <c r="I541" s="173">
        <v>89592.114709699614</v>
      </c>
      <c r="J541" s="168">
        <f>IFERROR(MIN('MP Calculations'!$E$30/I541,1),"-")</f>
        <v>0.31014580161562261</v>
      </c>
      <c r="K541" s="12"/>
      <c r="L541" s="159">
        <v>2.102001</v>
      </c>
      <c r="M541" s="187" t="s">
        <v>408</v>
      </c>
      <c r="N541" s="187">
        <v>2717.2408580000001</v>
      </c>
      <c r="O541" s="186">
        <f t="shared" si="26"/>
        <v>5711.6430007568579</v>
      </c>
      <c r="P541" s="186">
        <f t="shared" si="27"/>
        <v>1771.4420970119959</v>
      </c>
      <c r="Q541" s="215">
        <f>IF(P541="-",0,P541/(1+'General inputs'!$H$30)^'MP Calculations'!$C$40)</f>
        <v>3934.8848540968875</v>
      </c>
    </row>
    <row r="542" spans="3:17" x14ac:dyDescent="0.25">
      <c r="C542" s="159"/>
      <c r="D542" s="165" t="s">
        <v>335</v>
      </c>
      <c r="E542" s="162">
        <v>32509</v>
      </c>
      <c r="F542" s="166" t="str">
        <f t="shared" si="25"/>
        <v>Date check - OK</v>
      </c>
      <c r="G542" s="68"/>
      <c r="H542" s="162" t="s">
        <v>279</v>
      </c>
      <c r="I542" s="173">
        <v>89592.114709699614</v>
      </c>
      <c r="J542" s="168">
        <f>IFERROR(MIN('MP Calculations'!$E$30/I542,1),"-")</f>
        <v>0.31014580161562261</v>
      </c>
      <c r="K542" s="12"/>
      <c r="L542" s="159">
        <v>50.614153000000002</v>
      </c>
      <c r="M542" s="187" t="s">
        <v>408</v>
      </c>
      <c r="N542" s="187">
        <v>2717.2408580000001</v>
      </c>
      <c r="O542" s="186">
        <f t="shared" si="26"/>
        <v>137530.84452466329</v>
      </c>
      <c r="P542" s="186">
        <f t="shared" si="27"/>
        <v>42654.614021975256</v>
      </c>
      <c r="Q542" s="215">
        <f>IF(P542="-",0,P542/(1+'General inputs'!$H$30)^'MP Calculations'!$C$40)</f>
        <v>94748.225163852228</v>
      </c>
    </row>
    <row r="543" spans="3:17" x14ac:dyDescent="0.25">
      <c r="C543" s="159"/>
      <c r="D543" s="165" t="s">
        <v>336</v>
      </c>
      <c r="E543" s="162">
        <v>32509</v>
      </c>
      <c r="F543" s="166" t="str">
        <f t="shared" si="25"/>
        <v>Date check - OK</v>
      </c>
      <c r="G543" s="68"/>
      <c r="H543" s="162" t="s">
        <v>279</v>
      </c>
      <c r="I543" s="173">
        <v>89592.114709699614</v>
      </c>
      <c r="J543" s="168">
        <f>IFERROR(MIN('MP Calculations'!$E$30/I543,1),"-")</f>
        <v>0.31014580161562261</v>
      </c>
      <c r="K543" s="12"/>
      <c r="L543" s="159">
        <v>6.8219459999999996</v>
      </c>
      <c r="M543" s="187" t="s">
        <v>408</v>
      </c>
      <c r="N543" s="187">
        <v>1022.356822</v>
      </c>
      <c r="O543" s="186">
        <f t="shared" si="26"/>
        <v>6974.4630324156115</v>
      </c>
      <c r="P543" s="186">
        <f t="shared" si="27"/>
        <v>2163.1004280270658</v>
      </c>
      <c r="Q543" s="215">
        <f>IF(P543="-",0,P543/(1+'General inputs'!$H$30)^'MP Calculations'!$C$40)</f>
        <v>4804.8711987206188</v>
      </c>
    </row>
    <row r="544" spans="3:17" x14ac:dyDescent="0.25">
      <c r="C544" s="159"/>
      <c r="D544" s="165" t="s">
        <v>335</v>
      </c>
      <c r="E544" s="162">
        <v>32509</v>
      </c>
      <c r="F544" s="166" t="str">
        <f t="shared" si="25"/>
        <v>Date check - OK</v>
      </c>
      <c r="G544" s="68"/>
      <c r="H544" s="162" t="s">
        <v>279</v>
      </c>
      <c r="I544" s="173">
        <v>89592.114709699614</v>
      </c>
      <c r="J544" s="168">
        <f>IFERROR(MIN('MP Calculations'!$E$30/I544,1),"-")</f>
        <v>0.31014580161562261</v>
      </c>
      <c r="K544" s="12"/>
      <c r="L544" s="159">
        <v>0.90068999999999999</v>
      </c>
      <c r="M544" s="187" t="s">
        <v>408</v>
      </c>
      <c r="N544" s="187">
        <v>2717.2408580000001</v>
      </c>
      <c r="O544" s="186">
        <f t="shared" si="26"/>
        <v>2447.3916683920202</v>
      </c>
      <c r="P544" s="186">
        <f t="shared" si="27"/>
        <v>759.04825086083906</v>
      </c>
      <c r="Q544" s="215">
        <f>IF(P544="-",0,P544/(1+'General inputs'!$H$30)^'MP Calculations'!$C$40)</f>
        <v>1686.0655343344392</v>
      </c>
    </row>
    <row r="545" spans="3:17" x14ac:dyDescent="0.25">
      <c r="C545" s="159"/>
      <c r="D545" s="165" t="s">
        <v>337</v>
      </c>
      <c r="E545" s="162">
        <v>32689</v>
      </c>
      <c r="F545" s="166" t="str">
        <f t="shared" si="25"/>
        <v>Date check - OK</v>
      </c>
      <c r="G545" s="68"/>
      <c r="H545" s="162" t="s">
        <v>279</v>
      </c>
      <c r="I545" s="173">
        <v>89592.114709699614</v>
      </c>
      <c r="J545" s="168">
        <f>IFERROR(MIN('MP Calculations'!$E$30/I545,1),"-")</f>
        <v>0.31014580161562261</v>
      </c>
      <c r="K545" s="12"/>
      <c r="L545" s="159">
        <v>1</v>
      </c>
      <c r="M545" s="187" t="s">
        <v>409</v>
      </c>
      <c r="N545" s="187">
        <v>1821073.754674</v>
      </c>
      <c r="O545" s="186">
        <f t="shared" si="26"/>
        <v>1821073.754674</v>
      </c>
      <c r="P545" s="186">
        <f t="shared" si="27"/>
        <v>564798.37944453943</v>
      </c>
      <c r="Q545" s="215">
        <f>IF(P545="-",0,P545/(1+'General inputs'!$H$30)^'MP Calculations'!$C$40)</f>
        <v>1254580.4306239963</v>
      </c>
    </row>
    <row r="546" spans="3:17" x14ac:dyDescent="0.25">
      <c r="C546" s="159"/>
      <c r="D546" s="165" t="s">
        <v>338</v>
      </c>
      <c r="E546" s="162">
        <v>32689</v>
      </c>
      <c r="F546" s="166" t="str">
        <f t="shared" si="25"/>
        <v>Date check - OK</v>
      </c>
      <c r="G546" s="68"/>
      <c r="H546" s="162" t="s">
        <v>279</v>
      </c>
      <c r="I546" s="173">
        <v>89592.114709699614</v>
      </c>
      <c r="J546" s="168">
        <f>IFERROR(MIN('MP Calculations'!$E$30/I546,1),"-")</f>
        <v>0.31014580161562261</v>
      </c>
      <c r="K546" s="12"/>
      <c r="L546" s="159">
        <v>1</v>
      </c>
      <c r="M546" s="187" t="s">
        <v>409</v>
      </c>
      <c r="N546" s="187">
        <v>7276348.5132229999</v>
      </c>
      <c r="O546" s="186">
        <f t="shared" si="26"/>
        <v>7276348.5132229999</v>
      </c>
      <c r="P546" s="186">
        <f t="shared" si="27"/>
        <v>2256728.942468191</v>
      </c>
      <c r="Q546" s="215">
        <f>IF(P546="-",0,P546/(1+'General inputs'!$H$30)^'MP Calculations'!$C$40)</f>
        <v>5012847.1884565568</v>
      </c>
    </row>
    <row r="547" spans="3:17" x14ac:dyDescent="0.25">
      <c r="C547" s="159"/>
      <c r="D547" s="165" t="s">
        <v>339</v>
      </c>
      <c r="E547" s="162">
        <v>32689</v>
      </c>
      <c r="F547" s="166" t="str">
        <f t="shared" si="25"/>
        <v>Date check - OK</v>
      </c>
      <c r="G547" s="68"/>
      <c r="H547" s="162" t="s">
        <v>279</v>
      </c>
      <c r="I547" s="173">
        <v>89592.114709699614</v>
      </c>
      <c r="J547" s="168">
        <f>IFERROR(MIN('MP Calculations'!$E$30/I547,1),"-")</f>
        <v>0.31014580161562261</v>
      </c>
      <c r="K547" s="12"/>
      <c r="L547" s="159">
        <v>1</v>
      </c>
      <c r="M547" s="187" t="s">
        <v>409</v>
      </c>
      <c r="N547" s="187">
        <v>1516760.8628400001</v>
      </c>
      <c r="O547" s="186">
        <f t="shared" si="26"/>
        <v>1516760.8628400001</v>
      </c>
      <c r="P547" s="186">
        <f t="shared" si="27"/>
        <v>470417.01366471522</v>
      </c>
      <c r="Q547" s="215">
        <f>IF(P547="-",0,P547/(1+'General inputs'!$H$30)^'MP Calculations'!$C$40)</f>
        <v>1044932.1404865775</v>
      </c>
    </row>
    <row r="548" spans="3:17" x14ac:dyDescent="0.25">
      <c r="C548" s="159"/>
      <c r="D548" s="165" t="s">
        <v>340</v>
      </c>
      <c r="E548" s="162">
        <v>32689</v>
      </c>
      <c r="F548" s="166" t="str">
        <f t="shared" si="25"/>
        <v>Date check - OK</v>
      </c>
      <c r="G548" s="68"/>
      <c r="H548" s="162" t="s">
        <v>279</v>
      </c>
      <c r="I548" s="173">
        <v>89592.114709699614</v>
      </c>
      <c r="J548" s="168">
        <f>IFERROR(MIN('MP Calculations'!$E$30/I548,1),"-")</f>
        <v>0.31014580161562261</v>
      </c>
      <c r="K548" s="12"/>
      <c r="L548" s="159">
        <v>1</v>
      </c>
      <c r="M548" s="187" t="s">
        <v>409</v>
      </c>
      <c r="N548" s="187">
        <v>2018918.6829540001</v>
      </c>
      <c r="O548" s="186">
        <f t="shared" si="26"/>
        <v>2018918.6829540001</v>
      </c>
      <c r="P548" s="186">
        <f t="shared" si="27"/>
        <v>626159.15332152543</v>
      </c>
      <c r="Q548" s="215">
        <f>IF(P548="-",0,P548/(1+'General inputs'!$H$30)^'MP Calculations'!$C$40)</f>
        <v>1390880.4430102217</v>
      </c>
    </row>
    <row r="549" spans="3:17" x14ac:dyDescent="0.25">
      <c r="C549" s="159"/>
      <c r="D549" s="165" t="s">
        <v>341</v>
      </c>
      <c r="E549" s="162">
        <v>32689</v>
      </c>
      <c r="F549" s="166" t="str">
        <f t="shared" si="25"/>
        <v>Date check - OK</v>
      </c>
      <c r="G549" s="68"/>
      <c r="H549" s="162" t="s">
        <v>279</v>
      </c>
      <c r="I549" s="173">
        <v>89592.114709699614</v>
      </c>
      <c r="J549" s="168">
        <f>IFERROR(MIN('MP Calculations'!$E$30/I549,1),"-")</f>
        <v>0.31014580161562261</v>
      </c>
      <c r="K549" s="12"/>
      <c r="L549" s="159">
        <v>1</v>
      </c>
      <c r="M549" s="187" t="s">
        <v>409</v>
      </c>
      <c r="N549" s="187">
        <v>34075.26</v>
      </c>
      <c r="O549" s="186">
        <f t="shared" si="26"/>
        <v>34075.26</v>
      </c>
      <c r="P549" s="186">
        <f t="shared" si="27"/>
        <v>10568.298827960762</v>
      </c>
      <c r="Q549" s="215">
        <f>IF(P549="-",0,P549/(1+'General inputs'!$H$30)^'MP Calculations'!$C$40)</f>
        <v>23475.2459941292</v>
      </c>
    </row>
    <row r="550" spans="3:17" x14ac:dyDescent="0.25">
      <c r="C550" s="159"/>
      <c r="D550" s="165" t="s">
        <v>342</v>
      </c>
      <c r="E550" s="162">
        <v>32689</v>
      </c>
      <c r="F550" s="166" t="str">
        <f t="shared" si="25"/>
        <v>Date check - OK</v>
      </c>
      <c r="G550" s="68"/>
      <c r="H550" s="162" t="s">
        <v>279</v>
      </c>
      <c r="I550" s="173">
        <v>89592.114709699614</v>
      </c>
      <c r="J550" s="168">
        <f>IFERROR(MIN('MP Calculations'!$E$30/I550,1),"-")</f>
        <v>0.31014580161562261</v>
      </c>
      <c r="K550" s="12"/>
      <c r="L550" s="159">
        <v>1</v>
      </c>
      <c r="M550" s="187" t="s">
        <v>409</v>
      </c>
      <c r="N550" s="187">
        <v>1700620.6978430001</v>
      </c>
      <c r="O550" s="186">
        <f t="shared" si="26"/>
        <v>1700620.6978430001</v>
      </c>
      <c r="P550" s="186">
        <f t="shared" si="27"/>
        <v>527440.36957663682</v>
      </c>
      <c r="Q550" s="215">
        <f>IF(P550="-",0,P550/(1+'General inputs'!$H$30)^'MP Calculations'!$C$40)</f>
        <v>1171597.4940344428</v>
      </c>
    </row>
    <row r="551" spans="3:17" x14ac:dyDescent="0.25">
      <c r="C551" s="159"/>
      <c r="D551" s="165" t="s">
        <v>311</v>
      </c>
      <c r="E551" s="162">
        <v>32843</v>
      </c>
      <c r="F551" s="166" t="str">
        <f t="shared" si="25"/>
        <v>Date check - OK</v>
      </c>
      <c r="G551" s="68"/>
      <c r="H551" s="162" t="s">
        <v>279</v>
      </c>
      <c r="I551" s="173">
        <v>89592.114709699614</v>
      </c>
      <c r="J551" s="168">
        <f>IFERROR(MIN('MP Calculations'!$E$30/I551,1),"-")</f>
        <v>0.31014580161562261</v>
      </c>
      <c r="K551" s="12"/>
      <c r="L551" s="159">
        <v>9.1791219999999996</v>
      </c>
      <c r="M551" s="187" t="s">
        <v>408</v>
      </c>
      <c r="N551" s="187">
        <v>1715.208396</v>
      </c>
      <c r="O551" s="186">
        <f t="shared" si="26"/>
        <v>15744.107122308311</v>
      </c>
      <c r="P551" s="186">
        <f t="shared" si="27"/>
        <v>4882.9687241705442</v>
      </c>
      <c r="Q551" s="215">
        <f>IF(P551="-",0,P551/(1+'General inputs'!$H$30)^'MP Calculations'!$C$40)</f>
        <v>10846.484741542959</v>
      </c>
    </row>
    <row r="552" spans="3:17" ht="23" x14ac:dyDescent="0.25">
      <c r="C552" s="159"/>
      <c r="D552" s="165" t="s">
        <v>343</v>
      </c>
      <c r="E552" s="162">
        <v>32843</v>
      </c>
      <c r="F552" s="166" t="str">
        <f t="shared" si="25"/>
        <v>Date check - OK</v>
      </c>
      <c r="G552" s="68"/>
      <c r="H552" s="162" t="s">
        <v>279</v>
      </c>
      <c r="I552" s="173">
        <v>89592.114709699614</v>
      </c>
      <c r="J552" s="168">
        <f>IFERROR(MIN('MP Calculations'!$E$30/I552,1),"-")</f>
        <v>0.31014580161562261</v>
      </c>
      <c r="K552" s="12"/>
      <c r="L552" s="159">
        <v>17.927938999999999</v>
      </c>
      <c r="M552" s="187" t="s">
        <v>408</v>
      </c>
      <c r="N552" s="187">
        <v>7998.7991679999996</v>
      </c>
      <c r="O552" s="186">
        <f t="shared" si="26"/>
        <v>143401.98355715474</v>
      </c>
      <c r="P552" s="186">
        <f t="shared" si="27"/>
        <v>44475.523143604092</v>
      </c>
      <c r="Q552" s="215">
        <f>IF(P552="-",0,P552/(1+'General inputs'!$H$30)^'MP Calculations'!$C$40)</f>
        <v>98792.990575868767</v>
      </c>
    </row>
    <row r="553" spans="3:17" ht="23" x14ac:dyDescent="0.25">
      <c r="C553" s="159"/>
      <c r="D553" s="165" t="s">
        <v>344</v>
      </c>
      <c r="E553" s="162">
        <v>32843</v>
      </c>
      <c r="F553" s="166" t="str">
        <f t="shared" si="25"/>
        <v>Date check - OK</v>
      </c>
      <c r="G553" s="68"/>
      <c r="H553" s="162" t="s">
        <v>279</v>
      </c>
      <c r="I553" s="173">
        <v>89592.114709699614</v>
      </c>
      <c r="J553" s="168">
        <f>IFERROR(MIN('MP Calculations'!$E$30/I553,1),"-")</f>
        <v>0.31014580161562261</v>
      </c>
      <c r="K553" s="12"/>
      <c r="L553" s="159">
        <v>4.2046710000000003</v>
      </c>
      <c r="M553" s="187" t="s">
        <v>408</v>
      </c>
      <c r="N553" s="187">
        <v>7998.7991679999996</v>
      </c>
      <c r="O553" s="186">
        <f t="shared" si="26"/>
        <v>33632.318896513731</v>
      </c>
      <c r="P553" s="186">
        <f t="shared" si="27"/>
        <v>10430.922504351503</v>
      </c>
      <c r="Q553" s="215">
        <f>IF(P553="-",0,P553/(1+'General inputs'!$H$30)^'MP Calculations'!$C$40)</f>
        <v>23170.093476870308</v>
      </c>
    </row>
    <row r="554" spans="3:17" ht="23" x14ac:dyDescent="0.25">
      <c r="C554" s="159"/>
      <c r="D554" s="165" t="s">
        <v>343</v>
      </c>
      <c r="E554" s="162">
        <v>32843</v>
      </c>
      <c r="F554" s="166" t="str">
        <f t="shared" si="25"/>
        <v>Date check - OK</v>
      </c>
      <c r="G554" s="68"/>
      <c r="H554" s="162" t="s">
        <v>279</v>
      </c>
      <c r="I554" s="173">
        <v>89592.114709699614</v>
      </c>
      <c r="J554" s="168">
        <f>IFERROR(MIN('MP Calculations'!$E$30/I554,1),"-")</f>
        <v>0.31014580161562261</v>
      </c>
      <c r="K554" s="12"/>
      <c r="L554" s="159">
        <v>9.5354469999999996</v>
      </c>
      <c r="M554" s="187" t="s">
        <v>408</v>
      </c>
      <c r="N554" s="187">
        <v>7998.7991679999996</v>
      </c>
      <c r="O554" s="186">
        <f t="shared" si="26"/>
        <v>76272.125530108082</v>
      </c>
      <c r="P554" s="186">
        <f t="shared" si="27"/>
        <v>23655.479513462764</v>
      </c>
      <c r="Q554" s="215">
        <f>IF(P554="-",0,P554/(1+'General inputs'!$H$30)^'MP Calculations'!$C$40)</f>
        <v>52545.656564744888</v>
      </c>
    </row>
    <row r="555" spans="3:17" x14ac:dyDescent="0.25">
      <c r="C555" s="159"/>
      <c r="D555" s="165" t="s">
        <v>318</v>
      </c>
      <c r="E555" s="162">
        <v>32843</v>
      </c>
      <c r="F555" s="166" t="str">
        <f t="shared" si="25"/>
        <v>Date check - OK</v>
      </c>
      <c r="G555" s="68"/>
      <c r="H555" s="162" t="s">
        <v>279</v>
      </c>
      <c r="I555" s="173">
        <v>89592.114709699614</v>
      </c>
      <c r="J555" s="168">
        <f>IFERROR(MIN('MP Calculations'!$E$30/I555,1),"-")</f>
        <v>0.31014580161562261</v>
      </c>
      <c r="K555" s="12"/>
      <c r="L555" s="159">
        <v>4.0486129999999996</v>
      </c>
      <c r="M555" s="187" t="s">
        <v>408</v>
      </c>
      <c r="N555" s="187">
        <v>1186.218891</v>
      </c>
      <c r="O555" s="186">
        <f t="shared" si="26"/>
        <v>4802.5412229481826</v>
      </c>
      <c r="P555" s="186">
        <f t="shared" si="27"/>
        <v>1489.4879973833367</v>
      </c>
      <c r="Q555" s="215">
        <f>IF(P555="-",0,P555/(1+'General inputs'!$H$30)^'MP Calculations'!$C$40)</f>
        <v>3308.5833125163144</v>
      </c>
    </row>
    <row r="556" spans="3:17" x14ac:dyDescent="0.25">
      <c r="C556" s="159"/>
      <c r="D556" s="165" t="s">
        <v>311</v>
      </c>
      <c r="E556" s="162">
        <v>32843</v>
      </c>
      <c r="F556" s="166" t="str">
        <f t="shared" si="25"/>
        <v>Date check - OK</v>
      </c>
      <c r="G556" s="68"/>
      <c r="H556" s="162" t="s">
        <v>279</v>
      </c>
      <c r="I556" s="173">
        <v>89592.114709699614</v>
      </c>
      <c r="J556" s="168">
        <f>IFERROR(MIN('MP Calculations'!$E$30/I556,1),"-")</f>
        <v>0.31014580161562261</v>
      </c>
      <c r="K556" s="12"/>
      <c r="L556" s="159">
        <v>17.692885</v>
      </c>
      <c r="M556" s="187" t="s">
        <v>408</v>
      </c>
      <c r="N556" s="187">
        <v>1715.208396</v>
      </c>
      <c r="O556" s="186">
        <f t="shared" si="26"/>
        <v>30346.98490146246</v>
      </c>
      <c r="P556" s="186">
        <f t="shared" si="27"/>
        <v>9411.9899588812714</v>
      </c>
      <c r="Q556" s="215">
        <f>IF(P556="-",0,P556/(1+'General inputs'!$H$30)^'MP Calculations'!$C$40)</f>
        <v>20906.74981619967</v>
      </c>
    </row>
    <row r="557" spans="3:17" x14ac:dyDescent="0.25">
      <c r="C557" s="159"/>
      <c r="D557" s="165" t="s">
        <v>311</v>
      </c>
      <c r="E557" s="162">
        <v>32843</v>
      </c>
      <c r="F557" s="166" t="str">
        <f t="shared" si="25"/>
        <v>Date check - OK</v>
      </c>
      <c r="G557" s="68"/>
      <c r="H557" s="162" t="s">
        <v>279</v>
      </c>
      <c r="I557" s="173">
        <v>89592.114709699614</v>
      </c>
      <c r="J557" s="168">
        <f>IFERROR(MIN('MP Calculations'!$E$30/I557,1),"-")</f>
        <v>0.31014580161562261</v>
      </c>
      <c r="K557" s="12"/>
      <c r="L557" s="159">
        <v>18.739894</v>
      </c>
      <c r="M557" s="187" t="s">
        <v>408</v>
      </c>
      <c r="N557" s="187">
        <v>1715.208396</v>
      </c>
      <c r="O557" s="186">
        <f t="shared" si="26"/>
        <v>32142.823528950023</v>
      </c>
      <c r="P557" s="186">
        <f t="shared" si="27"/>
        <v>9968.9617695757006</v>
      </c>
      <c r="Q557" s="215">
        <f>IF(P557="-",0,P557/(1+'General inputs'!$H$30)^'MP Calculations'!$C$40)</f>
        <v>22143.945175707708</v>
      </c>
    </row>
    <row r="558" spans="3:17" ht="23" x14ac:dyDescent="0.25">
      <c r="C558" s="159"/>
      <c r="D558" s="165" t="s">
        <v>343</v>
      </c>
      <c r="E558" s="162">
        <v>32843</v>
      </c>
      <c r="F558" s="166" t="str">
        <f t="shared" si="25"/>
        <v>Date check - OK</v>
      </c>
      <c r="G558" s="68"/>
      <c r="H558" s="162" t="s">
        <v>279</v>
      </c>
      <c r="I558" s="173">
        <v>89592.114709699614</v>
      </c>
      <c r="J558" s="168">
        <f>IFERROR(MIN('MP Calculations'!$E$30/I558,1),"-")</f>
        <v>0.31014580161562261</v>
      </c>
      <c r="K558" s="12"/>
      <c r="L558" s="159">
        <v>36.347023999999998</v>
      </c>
      <c r="M558" s="187" t="s">
        <v>408</v>
      </c>
      <c r="N558" s="187">
        <v>7998.7991679999996</v>
      </c>
      <c r="O558" s="186">
        <f t="shared" si="26"/>
        <v>290732.54533047602</v>
      </c>
      <c r="P558" s="186">
        <f t="shared" si="27"/>
        <v>90169.478327270815</v>
      </c>
      <c r="Q558" s="215">
        <f>IF(P558="-",0,P558/(1+'General inputs'!$H$30)^'MP Calculations'!$C$40)</f>
        <v>200292.47084636308</v>
      </c>
    </row>
    <row r="559" spans="3:17" x14ac:dyDescent="0.25">
      <c r="C559" s="159"/>
      <c r="D559" s="165" t="s">
        <v>336</v>
      </c>
      <c r="E559" s="162">
        <v>32843</v>
      </c>
      <c r="F559" s="166" t="str">
        <f t="shared" si="25"/>
        <v>Date check - OK</v>
      </c>
      <c r="G559" s="68"/>
      <c r="H559" s="162" t="s">
        <v>279</v>
      </c>
      <c r="I559" s="173">
        <v>89592.114709699614</v>
      </c>
      <c r="J559" s="168">
        <f>IFERROR(MIN('MP Calculations'!$E$30/I559,1),"-")</f>
        <v>0.31014580161562261</v>
      </c>
      <c r="K559" s="12"/>
      <c r="L559" s="159">
        <v>1.3410010000000001</v>
      </c>
      <c r="M559" s="187" t="s">
        <v>408</v>
      </c>
      <c r="N559" s="187">
        <v>1022.356822</v>
      </c>
      <c r="O559" s="186">
        <f t="shared" si="26"/>
        <v>1370.9815206588221</v>
      </c>
      <c r="P559" s="186">
        <f t="shared" si="27"/>
        <v>425.20416272493566</v>
      </c>
      <c r="Q559" s="215">
        <f>IF(P559="-",0,P559/(1+'General inputs'!$H$30)^'MP Calculations'!$C$40)</f>
        <v>944.50133178356293</v>
      </c>
    </row>
    <row r="560" spans="3:17" x14ac:dyDescent="0.25">
      <c r="C560" s="159"/>
      <c r="D560" s="165" t="s">
        <v>285</v>
      </c>
      <c r="E560" s="162">
        <v>32843</v>
      </c>
      <c r="F560" s="166" t="str">
        <f t="shared" si="25"/>
        <v>Date check - OK</v>
      </c>
      <c r="G560" s="68"/>
      <c r="H560" s="162" t="s">
        <v>279</v>
      </c>
      <c r="I560" s="173">
        <v>89592.114709699614</v>
      </c>
      <c r="J560" s="168">
        <f>IFERROR(MIN('MP Calculations'!$E$30/I560,1),"-")</f>
        <v>0.31014580161562261</v>
      </c>
      <c r="K560" s="12"/>
      <c r="L560" s="159">
        <v>4.085</v>
      </c>
      <c r="M560" s="187" t="s">
        <v>408</v>
      </c>
      <c r="N560" s="187">
        <v>612.70164899999997</v>
      </c>
      <c r="O560" s="186">
        <f t="shared" si="26"/>
        <v>2502.8862361649999</v>
      </c>
      <c r="P560" s="186">
        <f t="shared" si="27"/>
        <v>776.25965806810245</v>
      </c>
      <c r="Q560" s="215">
        <f>IF(P560="-",0,P560/(1+'General inputs'!$H$30)^'MP Calculations'!$C$40)</f>
        <v>1724.2970439343242</v>
      </c>
    </row>
    <row r="561" spans="3:17" x14ac:dyDescent="0.25">
      <c r="C561" s="159"/>
      <c r="D561" s="165" t="s">
        <v>336</v>
      </c>
      <c r="E561" s="162">
        <v>32843</v>
      </c>
      <c r="F561" s="166" t="str">
        <f t="shared" si="25"/>
        <v>Date check - OK</v>
      </c>
      <c r="G561" s="68"/>
      <c r="H561" s="162" t="s">
        <v>279</v>
      </c>
      <c r="I561" s="173">
        <v>89592.114709699614</v>
      </c>
      <c r="J561" s="168">
        <f>IFERROR(MIN('MP Calculations'!$E$30/I561,1),"-")</f>
        <v>0.31014580161562261</v>
      </c>
      <c r="K561" s="12"/>
      <c r="L561" s="159">
        <v>1.3410010000000001</v>
      </c>
      <c r="M561" s="187" t="s">
        <v>408</v>
      </c>
      <c r="N561" s="187">
        <v>1022.356822</v>
      </c>
      <c r="O561" s="186">
        <f t="shared" si="26"/>
        <v>1370.9815206588221</v>
      </c>
      <c r="P561" s="186">
        <f t="shared" si="27"/>
        <v>425.20416272493566</v>
      </c>
      <c r="Q561" s="215">
        <f>IF(P561="-",0,P561/(1+'General inputs'!$H$30)^'MP Calculations'!$C$40)</f>
        <v>944.50133178356293</v>
      </c>
    </row>
    <row r="562" spans="3:17" x14ac:dyDescent="0.25">
      <c r="C562" s="159"/>
      <c r="D562" s="165" t="s">
        <v>336</v>
      </c>
      <c r="E562" s="162">
        <v>32843</v>
      </c>
      <c r="F562" s="166" t="str">
        <f t="shared" si="25"/>
        <v>Date check - OK</v>
      </c>
      <c r="G562" s="68"/>
      <c r="H562" s="162" t="s">
        <v>279</v>
      </c>
      <c r="I562" s="173">
        <v>89592.114709699614</v>
      </c>
      <c r="J562" s="168">
        <f>IFERROR(MIN('MP Calculations'!$E$30/I562,1),"-")</f>
        <v>0.31014580161562261</v>
      </c>
      <c r="K562" s="12"/>
      <c r="L562" s="159">
        <v>1.3410010000000001</v>
      </c>
      <c r="M562" s="187" t="s">
        <v>408</v>
      </c>
      <c r="N562" s="187">
        <v>1022.356822</v>
      </c>
      <c r="O562" s="186">
        <f t="shared" si="26"/>
        <v>1370.9815206588221</v>
      </c>
      <c r="P562" s="186">
        <f t="shared" si="27"/>
        <v>425.20416272493566</v>
      </c>
      <c r="Q562" s="215">
        <f>IF(P562="-",0,P562/(1+'General inputs'!$H$30)^'MP Calculations'!$C$40)</f>
        <v>944.50133178356293</v>
      </c>
    </row>
    <row r="563" spans="3:17" x14ac:dyDescent="0.25">
      <c r="C563" s="159"/>
      <c r="D563" s="165" t="s">
        <v>345</v>
      </c>
      <c r="E563" s="162">
        <v>32843</v>
      </c>
      <c r="F563" s="166" t="str">
        <f t="shared" si="25"/>
        <v>Date check - OK</v>
      </c>
      <c r="G563" s="68"/>
      <c r="H563" s="162" t="s">
        <v>279</v>
      </c>
      <c r="I563" s="173">
        <v>89592.114709699614</v>
      </c>
      <c r="J563" s="168">
        <f>IFERROR(MIN('MP Calculations'!$E$30/I563,1),"-")</f>
        <v>0.31014580161562261</v>
      </c>
      <c r="K563" s="12"/>
      <c r="L563" s="159">
        <v>1.3410010000000001</v>
      </c>
      <c r="M563" s="187" t="s">
        <v>408</v>
      </c>
      <c r="N563" s="187">
        <v>765.87706100000003</v>
      </c>
      <c r="O563" s="186">
        <f t="shared" si="26"/>
        <v>1027.0419046780612</v>
      </c>
      <c r="P563" s="186">
        <f t="shared" si="27"/>
        <v>318.53273481921315</v>
      </c>
      <c r="Q563" s="215">
        <f>IF(P563="-",0,P563/(1+'General inputs'!$H$30)^'MP Calculations'!$C$40)</f>
        <v>707.55326176811207</v>
      </c>
    </row>
    <row r="564" spans="3:17" x14ac:dyDescent="0.25">
      <c r="C564" s="159"/>
      <c r="D564" s="165" t="s">
        <v>336</v>
      </c>
      <c r="E564" s="162">
        <v>32843</v>
      </c>
      <c r="F564" s="166" t="str">
        <f t="shared" si="25"/>
        <v>Date check - OK</v>
      </c>
      <c r="G564" s="68"/>
      <c r="H564" s="162" t="s">
        <v>279</v>
      </c>
      <c r="I564" s="173">
        <v>89592.114709699614</v>
      </c>
      <c r="J564" s="168">
        <f>IFERROR(MIN('MP Calculations'!$E$30/I564,1),"-")</f>
        <v>0.31014580161562261</v>
      </c>
      <c r="K564" s="12"/>
      <c r="L564" s="159">
        <v>6.3276149999999998</v>
      </c>
      <c r="M564" s="187" t="s">
        <v>408</v>
      </c>
      <c r="N564" s="187">
        <v>1022.356822</v>
      </c>
      <c r="O564" s="186">
        <f t="shared" si="26"/>
        <v>6469.0803622395297</v>
      </c>
      <c r="P564" s="186">
        <f t="shared" si="27"/>
        <v>2006.3581146626611</v>
      </c>
      <c r="Q564" s="215">
        <f>IF(P564="-",0,P564/(1+'General inputs'!$H$30)^'MP Calculations'!$C$40)</f>
        <v>4456.7012213366343</v>
      </c>
    </row>
    <row r="565" spans="3:17" x14ac:dyDescent="0.25">
      <c r="C565" s="159"/>
      <c r="D565" s="165" t="s">
        <v>285</v>
      </c>
      <c r="E565" s="162">
        <v>32843</v>
      </c>
      <c r="F565" s="166" t="str">
        <f t="shared" si="25"/>
        <v>Date check - OK</v>
      </c>
      <c r="G565" s="68"/>
      <c r="H565" s="162" t="s">
        <v>279</v>
      </c>
      <c r="I565" s="173">
        <v>89592.114709699614</v>
      </c>
      <c r="J565" s="168">
        <f>IFERROR(MIN('MP Calculations'!$E$30/I565,1),"-")</f>
        <v>0.31014580161562261</v>
      </c>
      <c r="K565" s="12"/>
      <c r="L565" s="159">
        <v>1.3410010000000001</v>
      </c>
      <c r="M565" s="187" t="s">
        <v>408</v>
      </c>
      <c r="N565" s="187">
        <v>612.70164899999997</v>
      </c>
      <c r="O565" s="186">
        <f t="shared" si="26"/>
        <v>821.63352401064901</v>
      </c>
      <c r="P565" s="186">
        <f t="shared" si="27"/>
        <v>254.82618793855164</v>
      </c>
      <c r="Q565" s="215">
        <f>IF(P565="-",0,P565/(1+'General inputs'!$H$30)^'MP Calculations'!$C$40)</f>
        <v>566.04260959925898</v>
      </c>
    </row>
    <row r="566" spans="3:17" x14ac:dyDescent="0.25">
      <c r="C566" s="159"/>
      <c r="D566" s="165" t="s">
        <v>336</v>
      </c>
      <c r="E566" s="162">
        <v>32843</v>
      </c>
      <c r="F566" s="166" t="str">
        <f t="shared" si="25"/>
        <v>Date check - OK</v>
      </c>
      <c r="G566" s="68"/>
      <c r="H566" s="162" t="s">
        <v>279</v>
      </c>
      <c r="I566" s="173">
        <v>89592.114709699614</v>
      </c>
      <c r="J566" s="168">
        <f>IFERROR(MIN('MP Calculations'!$E$30/I566,1),"-")</f>
        <v>0.31014580161562261</v>
      </c>
      <c r="K566" s="12"/>
      <c r="L566" s="159">
        <v>4.9341929999999996</v>
      </c>
      <c r="M566" s="187" t="s">
        <v>408</v>
      </c>
      <c r="N566" s="187">
        <v>1022.356822</v>
      </c>
      <c r="O566" s="186">
        <f t="shared" si="26"/>
        <v>5044.5058746146451</v>
      </c>
      <c r="P566" s="186">
        <f t="shared" si="27"/>
        <v>1564.5323182370764</v>
      </c>
      <c r="Q566" s="215">
        <f>IF(P566="-",0,P566/(1+'General inputs'!$H$30)^'MP Calculations'!$C$40)</f>
        <v>3475.2784373592058</v>
      </c>
    </row>
    <row r="567" spans="3:17" x14ac:dyDescent="0.25">
      <c r="C567" s="159"/>
      <c r="D567" s="165" t="s">
        <v>345</v>
      </c>
      <c r="E567" s="162">
        <v>32843</v>
      </c>
      <c r="F567" s="166" t="str">
        <f t="shared" si="25"/>
        <v>Date check - OK</v>
      </c>
      <c r="G567" s="68"/>
      <c r="H567" s="162" t="s">
        <v>279</v>
      </c>
      <c r="I567" s="173">
        <v>89592.114709699614</v>
      </c>
      <c r="J567" s="168">
        <f>IFERROR(MIN('MP Calculations'!$E$30/I567,1),"-")</f>
        <v>0.31014580161562261</v>
      </c>
      <c r="K567" s="12"/>
      <c r="L567" s="159">
        <v>3.3702860000000001</v>
      </c>
      <c r="M567" s="187" t="s">
        <v>408</v>
      </c>
      <c r="N567" s="187">
        <v>765.87706100000003</v>
      </c>
      <c r="O567" s="186">
        <f t="shared" si="26"/>
        <v>2581.224736409446</v>
      </c>
      <c r="P567" s="186">
        <f t="shared" si="27"/>
        <v>800.55601502378181</v>
      </c>
      <c r="Q567" s="215">
        <f>IF(P567="-",0,P567/(1+'General inputs'!$H$30)^'MP Calculations'!$C$40)</f>
        <v>1778.2662745153827</v>
      </c>
    </row>
    <row r="568" spans="3:17" x14ac:dyDescent="0.25">
      <c r="C568" s="159"/>
      <c r="D568" s="165" t="s">
        <v>336</v>
      </c>
      <c r="E568" s="162">
        <v>32843</v>
      </c>
      <c r="F568" s="166" t="str">
        <f t="shared" si="25"/>
        <v>Date check - OK</v>
      </c>
      <c r="G568" s="68"/>
      <c r="H568" s="162" t="s">
        <v>279</v>
      </c>
      <c r="I568" s="173">
        <v>89592.114709699614</v>
      </c>
      <c r="J568" s="168">
        <f>IFERROR(MIN('MP Calculations'!$E$30/I568,1),"-")</f>
        <v>0.31014580161562261</v>
      </c>
      <c r="K568" s="12"/>
      <c r="L568" s="159">
        <v>1.3410010000000001</v>
      </c>
      <c r="M568" s="187" t="s">
        <v>408</v>
      </c>
      <c r="N568" s="187">
        <v>1022.356822</v>
      </c>
      <c r="O568" s="186">
        <f t="shared" si="26"/>
        <v>1370.9815206588221</v>
      </c>
      <c r="P568" s="186">
        <f t="shared" si="27"/>
        <v>425.20416272493566</v>
      </c>
      <c r="Q568" s="215">
        <f>IF(P568="-",0,P568/(1+'General inputs'!$H$30)^'MP Calculations'!$C$40)</f>
        <v>944.50133178356293</v>
      </c>
    </row>
    <row r="569" spans="3:17" x14ac:dyDescent="0.25">
      <c r="C569" s="159"/>
      <c r="D569" s="165" t="s">
        <v>336</v>
      </c>
      <c r="E569" s="162">
        <v>32843</v>
      </c>
      <c r="F569" s="166" t="str">
        <f t="shared" si="25"/>
        <v>Date check - OK</v>
      </c>
      <c r="G569" s="68"/>
      <c r="H569" s="162" t="s">
        <v>279</v>
      </c>
      <c r="I569" s="173">
        <v>89592.114709699614</v>
      </c>
      <c r="J569" s="168">
        <f>IFERROR(MIN('MP Calculations'!$E$30/I569,1),"-")</f>
        <v>0.31014580161562261</v>
      </c>
      <c r="K569" s="12"/>
      <c r="L569" s="159">
        <v>4.0850020000000002</v>
      </c>
      <c r="M569" s="187" t="s">
        <v>408</v>
      </c>
      <c r="N569" s="187">
        <v>1022.356822</v>
      </c>
      <c r="O569" s="186">
        <f t="shared" si="26"/>
        <v>4176.3296625836438</v>
      </c>
      <c r="P569" s="186">
        <f t="shared" si="27"/>
        <v>1295.271111013107</v>
      </c>
      <c r="Q569" s="215">
        <f>IF(P569="-",0,P569/(1+'General inputs'!$H$30)^'MP Calculations'!$C$40)</f>
        <v>2877.1714781260548</v>
      </c>
    </row>
    <row r="570" spans="3:17" x14ac:dyDescent="0.25">
      <c r="C570" s="159"/>
      <c r="D570" s="165" t="s">
        <v>336</v>
      </c>
      <c r="E570" s="162">
        <v>32843</v>
      </c>
      <c r="F570" s="166" t="str">
        <f t="shared" si="25"/>
        <v>Date check - OK</v>
      </c>
      <c r="G570" s="68"/>
      <c r="H570" s="162" t="s">
        <v>279</v>
      </c>
      <c r="I570" s="173">
        <v>89592.114709699614</v>
      </c>
      <c r="J570" s="168">
        <f>IFERROR(MIN('MP Calculations'!$E$30/I570,1),"-")</f>
        <v>0.31014580161562261</v>
      </c>
      <c r="K570" s="12"/>
      <c r="L570" s="159">
        <v>4.0860019999999997</v>
      </c>
      <c r="M570" s="187" t="s">
        <v>408</v>
      </c>
      <c r="N570" s="187">
        <v>1022.356822</v>
      </c>
      <c r="O570" s="186">
        <f t="shared" si="26"/>
        <v>4177.3520194056437</v>
      </c>
      <c r="P570" s="186">
        <f t="shared" si="27"/>
        <v>1295.5881906892032</v>
      </c>
      <c r="Q570" s="215">
        <f>IF(P570="-",0,P570/(1+'General inputs'!$H$30)^'MP Calculations'!$C$40)</f>
        <v>2877.8758037244575</v>
      </c>
    </row>
    <row r="571" spans="3:17" x14ac:dyDescent="0.25">
      <c r="C571" s="159"/>
      <c r="D571" s="165" t="s">
        <v>345</v>
      </c>
      <c r="E571" s="162">
        <v>32843</v>
      </c>
      <c r="F571" s="166" t="str">
        <f t="shared" si="25"/>
        <v>Date check - OK</v>
      </c>
      <c r="G571" s="68"/>
      <c r="H571" s="162" t="s">
        <v>279</v>
      </c>
      <c r="I571" s="173">
        <v>89592.114709699614</v>
      </c>
      <c r="J571" s="168">
        <f>IFERROR(MIN('MP Calculations'!$E$30/I571,1),"-")</f>
        <v>0.31014580161562261</v>
      </c>
      <c r="K571" s="12"/>
      <c r="L571" s="159">
        <v>4.085</v>
      </c>
      <c r="M571" s="187" t="s">
        <v>408</v>
      </c>
      <c r="N571" s="187">
        <v>765.87706100000003</v>
      </c>
      <c r="O571" s="186">
        <f t="shared" si="26"/>
        <v>3128.6077941849999</v>
      </c>
      <c r="P571" s="186">
        <f t="shared" si="27"/>
        <v>970.32457226839165</v>
      </c>
      <c r="Q571" s="215">
        <f>IF(P571="-",0,P571/(1+'General inputs'!$H$30)^'MP Calculations'!$C$40)</f>
        <v>2155.3713042143422</v>
      </c>
    </row>
    <row r="572" spans="3:17" x14ac:dyDescent="0.25">
      <c r="C572" s="159"/>
      <c r="D572" s="165" t="s">
        <v>336</v>
      </c>
      <c r="E572" s="162">
        <v>32843</v>
      </c>
      <c r="F572" s="166" t="str">
        <f t="shared" si="25"/>
        <v>Date check - OK</v>
      </c>
      <c r="G572" s="68"/>
      <c r="H572" s="162" t="s">
        <v>279</v>
      </c>
      <c r="I572" s="173">
        <v>89592.114709699614</v>
      </c>
      <c r="J572" s="168">
        <f>IFERROR(MIN('MP Calculations'!$E$30/I572,1),"-")</f>
        <v>0.31014580161562261</v>
      </c>
      <c r="K572" s="12"/>
      <c r="L572" s="159">
        <v>1.3410010000000001</v>
      </c>
      <c r="M572" s="187" t="s">
        <v>408</v>
      </c>
      <c r="N572" s="187">
        <v>1022.356822</v>
      </c>
      <c r="O572" s="186">
        <f t="shared" si="26"/>
        <v>1370.9815206588221</v>
      </c>
      <c r="P572" s="186">
        <f t="shared" si="27"/>
        <v>425.20416272493566</v>
      </c>
      <c r="Q572" s="215">
        <f>IF(P572="-",0,P572/(1+'General inputs'!$H$30)^'MP Calculations'!$C$40)</f>
        <v>944.50133178356293</v>
      </c>
    </row>
    <row r="573" spans="3:17" x14ac:dyDescent="0.25">
      <c r="C573" s="159"/>
      <c r="D573" s="165" t="s">
        <v>336</v>
      </c>
      <c r="E573" s="162">
        <v>32843</v>
      </c>
      <c r="F573" s="166" t="str">
        <f t="shared" si="25"/>
        <v>Date check - OK</v>
      </c>
      <c r="G573" s="68"/>
      <c r="H573" s="162" t="s">
        <v>279</v>
      </c>
      <c r="I573" s="173">
        <v>89592.114709699614</v>
      </c>
      <c r="J573" s="168">
        <f>IFERROR(MIN('MP Calculations'!$E$30/I573,1),"-")</f>
        <v>0.31014580161562261</v>
      </c>
      <c r="K573" s="12"/>
      <c r="L573" s="159">
        <v>4.5216089999999998</v>
      </c>
      <c r="M573" s="187" t="s">
        <v>408</v>
      </c>
      <c r="N573" s="187">
        <v>1022.356822</v>
      </c>
      <c r="O573" s="186">
        <f t="shared" si="26"/>
        <v>4622.6978075665975</v>
      </c>
      <c r="P573" s="186">
        <f t="shared" si="27"/>
        <v>1433.7103171545234</v>
      </c>
      <c r="Q573" s="215">
        <f>IF(P573="-",0,P573/(1+'General inputs'!$H$30)^'MP Calculations'!$C$40)</f>
        <v>3184.6849646678438</v>
      </c>
    </row>
    <row r="574" spans="3:17" x14ac:dyDescent="0.25">
      <c r="C574" s="159"/>
      <c r="D574" s="165" t="s">
        <v>336</v>
      </c>
      <c r="E574" s="162">
        <v>32843</v>
      </c>
      <c r="F574" s="166" t="str">
        <f t="shared" si="25"/>
        <v>Date check - OK</v>
      </c>
      <c r="G574" s="68"/>
      <c r="H574" s="162" t="s">
        <v>279</v>
      </c>
      <c r="I574" s="173">
        <v>89592.114709699614</v>
      </c>
      <c r="J574" s="168">
        <f>IFERROR(MIN('MP Calculations'!$E$30/I574,1),"-")</f>
        <v>0.31014580161562261</v>
      </c>
      <c r="K574" s="12"/>
      <c r="L574" s="159">
        <v>8.2884829999999994</v>
      </c>
      <c r="M574" s="187" t="s">
        <v>408</v>
      </c>
      <c r="N574" s="187">
        <v>1022.356822</v>
      </c>
      <c r="O574" s="186">
        <f t="shared" si="26"/>
        <v>8473.7871390810251</v>
      </c>
      <c r="P574" s="186">
        <f t="shared" si="27"/>
        <v>2628.1095049704377</v>
      </c>
      <c r="Q574" s="215">
        <f>IF(P574="-",0,P574/(1+'General inputs'!$H$30)^'MP Calculations'!$C$40)</f>
        <v>5837.7907488252577</v>
      </c>
    </row>
    <row r="575" spans="3:17" x14ac:dyDescent="0.25">
      <c r="C575" s="159"/>
      <c r="D575" s="165" t="s">
        <v>336</v>
      </c>
      <c r="E575" s="162">
        <v>32843</v>
      </c>
      <c r="F575" s="166" t="str">
        <f t="shared" si="25"/>
        <v>Date check - OK</v>
      </c>
      <c r="G575" s="68"/>
      <c r="H575" s="162" t="s">
        <v>279</v>
      </c>
      <c r="I575" s="173">
        <v>89592.114709699614</v>
      </c>
      <c r="J575" s="168">
        <f>IFERROR(MIN('MP Calculations'!$E$30/I575,1),"-")</f>
        <v>0.31014580161562261</v>
      </c>
      <c r="K575" s="12"/>
      <c r="L575" s="159">
        <v>4.0850010000000001</v>
      </c>
      <c r="M575" s="187" t="s">
        <v>408</v>
      </c>
      <c r="N575" s="187">
        <v>1022.356822</v>
      </c>
      <c r="O575" s="186">
        <f t="shared" si="26"/>
        <v>4176.3286402268222</v>
      </c>
      <c r="P575" s="186">
        <f t="shared" si="27"/>
        <v>1295.2707939334309</v>
      </c>
      <c r="Q575" s="215">
        <f>IF(P575="-",0,P575/(1+'General inputs'!$H$30)^'MP Calculations'!$C$40)</f>
        <v>2877.1707738004566</v>
      </c>
    </row>
    <row r="576" spans="3:17" x14ac:dyDescent="0.25">
      <c r="C576" s="159"/>
      <c r="D576" s="165" t="s">
        <v>336</v>
      </c>
      <c r="E576" s="162">
        <v>32843</v>
      </c>
      <c r="F576" s="166" t="str">
        <f t="shared" si="25"/>
        <v>Date check - OK</v>
      </c>
      <c r="G576" s="68"/>
      <c r="H576" s="162" t="s">
        <v>279</v>
      </c>
      <c r="I576" s="173">
        <v>89592.114709699614</v>
      </c>
      <c r="J576" s="168">
        <f>IFERROR(MIN('MP Calculations'!$E$30/I576,1),"-")</f>
        <v>0.31014580161562261</v>
      </c>
      <c r="K576" s="12"/>
      <c r="L576" s="159">
        <v>4.0850020000000002</v>
      </c>
      <c r="M576" s="187" t="s">
        <v>408</v>
      </c>
      <c r="N576" s="187">
        <v>1022.356822</v>
      </c>
      <c r="O576" s="186">
        <f t="shared" si="26"/>
        <v>4176.3296625836438</v>
      </c>
      <c r="P576" s="186">
        <f t="shared" si="27"/>
        <v>1295.271111013107</v>
      </c>
      <c r="Q576" s="215">
        <f>IF(P576="-",0,P576/(1+'General inputs'!$H$30)^'MP Calculations'!$C$40)</f>
        <v>2877.1714781260548</v>
      </c>
    </row>
    <row r="577" spans="3:17" x14ac:dyDescent="0.25">
      <c r="C577" s="159"/>
      <c r="D577" s="165" t="s">
        <v>336</v>
      </c>
      <c r="E577" s="162">
        <v>32843</v>
      </c>
      <c r="F577" s="166" t="str">
        <f t="shared" si="25"/>
        <v>Date check - OK</v>
      </c>
      <c r="G577" s="68"/>
      <c r="H577" s="162" t="s">
        <v>279</v>
      </c>
      <c r="I577" s="173">
        <v>89592.114709699614</v>
      </c>
      <c r="J577" s="168">
        <f>IFERROR(MIN('MP Calculations'!$E$30/I577,1),"-")</f>
        <v>0.31014580161562261</v>
      </c>
      <c r="K577" s="12"/>
      <c r="L577" s="159">
        <v>4.0839999999999996</v>
      </c>
      <c r="M577" s="187" t="s">
        <v>408</v>
      </c>
      <c r="N577" s="187">
        <v>1022.356822</v>
      </c>
      <c r="O577" s="186">
        <f t="shared" si="26"/>
        <v>4175.3052610479999</v>
      </c>
      <c r="P577" s="186">
        <f t="shared" si="27"/>
        <v>1294.9533971776584</v>
      </c>
      <c r="Q577" s="215">
        <f>IF(P577="-",0,P577/(1+'General inputs'!$H$30)^'MP Calculations'!$C$40)</f>
        <v>2876.4657438764557</v>
      </c>
    </row>
    <row r="578" spans="3:17" x14ac:dyDescent="0.25">
      <c r="C578" s="159"/>
      <c r="D578" s="165" t="s">
        <v>285</v>
      </c>
      <c r="E578" s="162">
        <v>32843</v>
      </c>
      <c r="F578" s="166" t="str">
        <f t="shared" si="25"/>
        <v>Date check - OK</v>
      </c>
      <c r="G578" s="68"/>
      <c r="H578" s="162" t="s">
        <v>279</v>
      </c>
      <c r="I578" s="173">
        <v>89592.114709699614</v>
      </c>
      <c r="J578" s="168">
        <f>IFERROR(MIN('MP Calculations'!$E$30/I578,1),"-")</f>
        <v>0.31014580161562261</v>
      </c>
      <c r="K578" s="12"/>
      <c r="L578" s="159">
        <v>3.107936</v>
      </c>
      <c r="M578" s="187" t="s">
        <v>408</v>
      </c>
      <c r="N578" s="187">
        <v>612.70164899999997</v>
      </c>
      <c r="O578" s="186">
        <f t="shared" si="26"/>
        <v>1904.2375121864638</v>
      </c>
      <c r="P578" s="186">
        <f t="shared" si="27"/>
        <v>590.59126968360977</v>
      </c>
      <c r="Q578" s="215">
        <f>IF(P578="-",0,P578/(1+'General inputs'!$H$30)^'MP Calculations'!$C$40)</f>
        <v>1311.8738941339211</v>
      </c>
    </row>
    <row r="579" spans="3:17" x14ac:dyDescent="0.25">
      <c r="C579" s="159"/>
      <c r="D579" s="165" t="s">
        <v>300</v>
      </c>
      <c r="E579" s="162">
        <v>32874</v>
      </c>
      <c r="F579" s="166" t="str">
        <f t="shared" si="25"/>
        <v>Date check - OK</v>
      </c>
      <c r="G579" s="68"/>
      <c r="H579" s="162" t="s">
        <v>279</v>
      </c>
      <c r="I579" s="173">
        <v>89592.114709699614</v>
      </c>
      <c r="J579" s="168">
        <f>IFERROR(MIN('MP Calculations'!$E$30/I579,1),"-")</f>
        <v>0.31014580161562261</v>
      </c>
      <c r="K579" s="12"/>
      <c r="L579" s="159">
        <v>15.23044</v>
      </c>
      <c r="M579" s="187" t="s">
        <v>408</v>
      </c>
      <c r="N579" s="187">
        <v>657.22938499999998</v>
      </c>
      <c r="O579" s="186">
        <f t="shared" si="26"/>
        <v>10009.8927144794</v>
      </c>
      <c r="P579" s="186">
        <f t="shared" si="27"/>
        <v>3104.526200018594</v>
      </c>
      <c r="Q579" s="215">
        <f>IF(P579="-",0,P579/(1+'General inputs'!$H$30)^'MP Calculations'!$C$40)</f>
        <v>6896.0499156057967</v>
      </c>
    </row>
    <row r="580" spans="3:17" x14ac:dyDescent="0.25">
      <c r="C580" s="159"/>
      <c r="D580" s="165" t="s">
        <v>283</v>
      </c>
      <c r="E580" s="162">
        <v>32874</v>
      </c>
      <c r="F580" s="166" t="str">
        <f t="shared" si="25"/>
        <v>Date check - OK</v>
      </c>
      <c r="G580" s="68"/>
      <c r="H580" s="162" t="s">
        <v>279</v>
      </c>
      <c r="I580" s="173">
        <v>89592.114709699614</v>
      </c>
      <c r="J580" s="168">
        <f>IFERROR(MIN('MP Calculations'!$E$30/I580,1),"-")</f>
        <v>0.31014580161562261</v>
      </c>
      <c r="K580" s="12"/>
      <c r="L580" s="159">
        <v>17.001283999999998</v>
      </c>
      <c r="M580" s="187" t="s">
        <v>408</v>
      </c>
      <c r="N580" s="187">
        <v>480.89954999999998</v>
      </c>
      <c r="O580" s="186">
        <f t="shared" si="26"/>
        <v>8175.9098250221987</v>
      </c>
      <c r="P580" s="186">
        <f t="shared" si="27"/>
        <v>2535.7241066185547</v>
      </c>
      <c r="Q580" s="215">
        <f>IF(P580="-",0,P580/(1+'General inputs'!$H$30)^'MP Calculations'!$C$40)</f>
        <v>5632.5760791910006</v>
      </c>
    </row>
    <row r="581" spans="3:17" x14ac:dyDescent="0.25">
      <c r="C581" s="159"/>
      <c r="D581" s="165" t="s">
        <v>281</v>
      </c>
      <c r="E581" s="162">
        <v>32997</v>
      </c>
      <c r="F581" s="166" t="str">
        <f t="shared" si="25"/>
        <v>Date check - OK</v>
      </c>
      <c r="G581" s="68"/>
      <c r="H581" s="162" t="s">
        <v>279</v>
      </c>
      <c r="I581" s="173">
        <v>89592.114709699614</v>
      </c>
      <c r="J581" s="168">
        <f>IFERROR(MIN('MP Calculations'!$E$30/I581,1),"-")</f>
        <v>0.31014580161562261</v>
      </c>
      <c r="K581" s="12"/>
      <c r="L581" s="159">
        <v>57.399783999999997</v>
      </c>
      <c r="M581" s="187" t="s">
        <v>408</v>
      </c>
      <c r="N581" s="187">
        <v>657.22938499999998</v>
      </c>
      <c r="O581" s="186">
        <f t="shared" si="26"/>
        <v>37724.824737452836</v>
      </c>
      <c r="P581" s="186">
        <f t="shared" si="27"/>
        <v>11700.19600900618</v>
      </c>
      <c r="Q581" s="215">
        <f>IF(P581="-",0,P581/(1+'General inputs'!$H$30)^'MP Calculations'!$C$40)</f>
        <v>25989.516757821242</v>
      </c>
    </row>
    <row r="582" spans="3:17" x14ac:dyDescent="0.25">
      <c r="C582" s="159"/>
      <c r="D582" s="165" t="s">
        <v>346</v>
      </c>
      <c r="E582" s="162">
        <v>33054</v>
      </c>
      <c r="F582" s="166" t="str">
        <f t="shared" si="25"/>
        <v>Date check - OK</v>
      </c>
      <c r="G582" s="68"/>
      <c r="H582" s="162" t="s">
        <v>279</v>
      </c>
      <c r="I582" s="173">
        <v>89592.114709699614</v>
      </c>
      <c r="J582" s="168">
        <f>IFERROR(MIN('MP Calculations'!$E$30/I582,1),"-")</f>
        <v>0.31014580161562261</v>
      </c>
      <c r="K582" s="12"/>
      <c r="L582" s="159">
        <v>1</v>
      </c>
      <c r="M582" s="187" t="s">
        <v>409</v>
      </c>
      <c r="N582" s="187">
        <v>6185.2493919999997</v>
      </c>
      <c r="O582" s="186">
        <f t="shared" si="26"/>
        <v>6185.2493919999997</v>
      </c>
      <c r="P582" s="186">
        <f t="shared" si="27"/>
        <v>1918.3291308743824</v>
      </c>
      <c r="Q582" s="215">
        <f>IF(P582="-",0,P582/(1+'General inputs'!$H$30)^'MP Calculations'!$C$40)</f>
        <v>4261.1634074762178</v>
      </c>
    </row>
    <row r="583" spans="3:17" x14ac:dyDescent="0.25">
      <c r="C583" s="159"/>
      <c r="D583" s="165" t="s">
        <v>347</v>
      </c>
      <c r="E583" s="162">
        <v>33054</v>
      </c>
      <c r="F583" s="166" t="str">
        <f t="shared" si="25"/>
        <v>Date check - OK</v>
      </c>
      <c r="G583" s="68"/>
      <c r="H583" s="162" t="s">
        <v>279</v>
      </c>
      <c r="I583" s="173">
        <v>89592.114709699614</v>
      </c>
      <c r="J583" s="168">
        <f>IFERROR(MIN('MP Calculations'!$E$30/I583,1),"-")</f>
        <v>0.31014580161562261</v>
      </c>
      <c r="K583" s="12"/>
      <c r="L583" s="159">
        <v>1</v>
      </c>
      <c r="M583" s="187" t="s">
        <v>409</v>
      </c>
      <c r="N583" s="187">
        <v>59120.142282000001</v>
      </c>
      <c r="O583" s="186">
        <f t="shared" si="26"/>
        <v>59120.142282000001</v>
      </c>
      <c r="P583" s="186">
        <f t="shared" si="27"/>
        <v>18335.863919680552</v>
      </c>
      <c r="Q583" s="215">
        <f>IF(P583="-",0,P583/(1+'General inputs'!$H$30)^'MP Calculations'!$C$40)</f>
        <v>40729.252932416908</v>
      </c>
    </row>
    <row r="584" spans="3:17" x14ac:dyDescent="0.25">
      <c r="C584" s="159"/>
      <c r="D584" s="165" t="s">
        <v>348</v>
      </c>
      <c r="E584" s="162">
        <v>33054</v>
      </c>
      <c r="F584" s="166" t="str">
        <f t="shared" si="25"/>
        <v>Date check - OK</v>
      </c>
      <c r="G584" s="68"/>
      <c r="H584" s="162" t="s">
        <v>279</v>
      </c>
      <c r="I584" s="173">
        <v>89592.114709699614</v>
      </c>
      <c r="J584" s="168">
        <f>IFERROR(MIN('MP Calculations'!$E$30/I584,1),"-")</f>
        <v>0.31014580161562261</v>
      </c>
      <c r="K584" s="12"/>
      <c r="L584" s="159">
        <v>1</v>
      </c>
      <c r="M584" s="187" t="s">
        <v>409</v>
      </c>
      <c r="N584" s="187">
        <v>4684862.6584029999</v>
      </c>
      <c r="O584" s="186">
        <f t="shared" si="26"/>
        <v>4684862.6584029999</v>
      </c>
      <c r="P584" s="186">
        <f t="shared" si="27"/>
        <v>1452990.4846494952</v>
      </c>
      <c r="Q584" s="215">
        <f>IF(P584="-",0,P584/(1+'General inputs'!$H$30)^'MP Calculations'!$C$40)</f>
        <v>3227511.7887499756</v>
      </c>
    </row>
    <row r="585" spans="3:17" x14ac:dyDescent="0.25">
      <c r="C585" s="159"/>
      <c r="D585" s="165" t="s">
        <v>349</v>
      </c>
      <c r="E585" s="162">
        <v>33054</v>
      </c>
      <c r="F585" s="166" t="str">
        <f t="shared" si="25"/>
        <v>Date check - OK</v>
      </c>
      <c r="G585" s="68"/>
      <c r="H585" s="162" t="s">
        <v>279</v>
      </c>
      <c r="I585" s="173">
        <v>89592.114709699614</v>
      </c>
      <c r="J585" s="168">
        <f>IFERROR(MIN('MP Calculations'!$E$30/I585,1),"-")</f>
        <v>0.31014580161562261</v>
      </c>
      <c r="K585" s="12"/>
      <c r="L585" s="159">
        <v>1</v>
      </c>
      <c r="M585" s="187" t="s">
        <v>409</v>
      </c>
      <c r="N585" s="187">
        <v>1018940.9787100001</v>
      </c>
      <c r="O585" s="186">
        <f t="shared" si="26"/>
        <v>1018940.9787100001</v>
      </c>
      <c r="P585" s="186">
        <f t="shared" si="27"/>
        <v>316020.26664102002</v>
      </c>
      <c r="Q585" s="215">
        <f>IF(P585="-",0,P585/(1+'General inputs'!$H$30)^'MP Calculations'!$C$40)</f>
        <v>701972.3438270468</v>
      </c>
    </row>
    <row r="586" spans="3:17" x14ac:dyDescent="0.25">
      <c r="C586" s="159"/>
      <c r="D586" s="165" t="s">
        <v>350</v>
      </c>
      <c r="E586" s="162">
        <v>33054</v>
      </c>
      <c r="F586" s="166" t="str">
        <f t="shared" si="25"/>
        <v>Date check - OK</v>
      </c>
      <c r="G586" s="68"/>
      <c r="H586" s="162" t="s">
        <v>279</v>
      </c>
      <c r="I586" s="173">
        <v>89592.114709699614</v>
      </c>
      <c r="J586" s="168">
        <f>IFERROR(MIN('MP Calculations'!$E$30/I586,1),"-")</f>
        <v>0.31014580161562261</v>
      </c>
      <c r="K586" s="12"/>
      <c r="L586" s="159">
        <v>1</v>
      </c>
      <c r="M586" s="187" t="s">
        <v>409</v>
      </c>
      <c r="N586" s="187">
        <v>2719174.2756449999</v>
      </c>
      <c r="O586" s="186">
        <f t="shared" si="26"/>
        <v>2719174.2756449999</v>
      </c>
      <c r="P586" s="186">
        <f t="shared" si="27"/>
        <v>843340.48545249843</v>
      </c>
      <c r="Q586" s="215">
        <f>IF(P586="-",0,P586/(1+'General inputs'!$H$30)^'MP Calculations'!$C$40)</f>
        <v>1873302.9482878326</v>
      </c>
    </row>
    <row r="587" spans="3:17" x14ac:dyDescent="0.25">
      <c r="C587" s="159"/>
      <c r="D587" s="165" t="s">
        <v>284</v>
      </c>
      <c r="E587" s="162">
        <v>33199</v>
      </c>
      <c r="F587" s="166" t="str">
        <f t="shared" si="25"/>
        <v>Date check - OK</v>
      </c>
      <c r="G587" s="68"/>
      <c r="H587" s="162" t="s">
        <v>279</v>
      </c>
      <c r="I587" s="173">
        <v>89592.114709699614</v>
      </c>
      <c r="J587" s="168">
        <f>IFERROR(MIN('MP Calculations'!$E$30/I587,1),"-")</f>
        <v>0.31014580161562261</v>
      </c>
      <c r="K587" s="12"/>
      <c r="L587" s="159">
        <v>19.225166000000002</v>
      </c>
      <c r="M587" s="187" t="s">
        <v>408</v>
      </c>
      <c r="N587" s="187">
        <v>304.56971499999997</v>
      </c>
      <c r="O587" s="186">
        <f t="shared" si="26"/>
        <v>5855.4033294476903</v>
      </c>
      <c r="P587" s="186">
        <f t="shared" si="27"/>
        <v>1816.0287593943394</v>
      </c>
      <c r="Q587" s="215">
        <f>IF(P587="-",0,P587/(1+'General inputs'!$H$30)^'MP Calculations'!$C$40)</f>
        <v>4033.9247170418553</v>
      </c>
    </row>
    <row r="588" spans="3:17" x14ac:dyDescent="0.25">
      <c r="C588" s="159"/>
      <c r="D588" s="165" t="s">
        <v>284</v>
      </c>
      <c r="E588" s="162">
        <v>33199</v>
      </c>
      <c r="F588" s="166" t="str">
        <f t="shared" si="25"/>
        <v>Date check - OK</v>
      </c>
      <c r="G588" s="68"/>
      <c r="H588" s="162" t="s">
        <v>279</v>
      </c>
      <c r="I588" s="173">
        <v>89592.114709699614</v>
      </c>
      <c r="J588" s="168">
        <f>IFERROR(MIN('MP Calculations'!$E$30/I588,1),"-")</f>
        <v>0.31014580161562261</v>
      </c>
      <c r="K588" s="12"/>
      <c r="L588" s="159">
        <v>14.437533999999999</v>
      </c>
      <c r="M588" s="187" t="s">
        <v>408</v>
      </c>
      <c r="N588" s="187">
        <v>304.56971499999997</v>
      </c>
      <c r="O588" s="186">
        <f t="shared" si="26"/>
        <v>4397.2356156828091</v>
      </c>
      <c r="P588" s="186">
        <f t="shared" si="27"/>
        <v>1363.7841649187108</v>
      </c>
      <c r="Q588" s="215">
        <f>IF(P588="-",0,P588/(1+'General inputs'!$H$30)^'MP Calculations'!$C$40)</f>
        <v>3029.3587715046078</v>
      </c>
    </row>
    <row r="589" spans="3:17" x14ac:dyDescent="0.25">
      <c r="C589" s="159"/>
      <c r="D589" s="165" t="s">
        <v>284</v>
      </c>
      <c r="E589" s="162">
        <v>33199</v>
      </c>
      <c r="F589" s="166" t="str">
        <f t="shared" si="25"/>
        <v>Date check - OK</v>
      </c>
      <c r="G589" s="68"/>
      <c r="H589" s="162" t="s">
        <v>279</v>
      </c>
      <c r="I589" s="173">
        <v>89592.114709699614</v>
      </c>
      <c r="J589" s="168">
        <f>IFERROR(MIN('MP Calculations'!$E$30/I589,1),"-")</f>
        <v>0.31014580161562261</v>
      </c>
      <c r="K589" s="12"/>
      <c r="L589" s="159">
        <v>27.393293</v>
      </c>
      <c r="M589" s="187" t="s">
        <v>408</v>
      </c>
      <c r="N589" s="187">
        <v>304.56971499999997</v>
      </c>
      <c r="O589" s="186">
        <f t="shared" si="26"/>
        <v>8343.1674419214942</v>
      </c>
      <c r="P589" s="186">
        <f t="shared" si="27"/>
        <v>2587.5983542881054</v>
      </c>
      <c r="Q589" s="215">
        <f>IF(P589="-",0,P589/(1+'General inputs'!$H$30)^'MP Calculations'!$C$40)</f>
        <v>5747.803775211597</v>
      </c>
    </row>
    <row r="590" spans="3:17" x14ac:dyDescent="0.25">
      <c r="C590" s="159"/>
      <c r="D590" s="165" t="s">
        <v>283</v>
      </c>
      <c r="E590" s="162">
        <v>33204</v>
      </c>
      <c r="F590" s="166" t="str">
        <f t="shared" si="25"/>
        <v>Date check - OK</v>
      </c>
      <c r="G590" s="68"/>
      <c r="H590" s="162" t="s">
        <v>279</v>
      </c>
      <c r="I590" s="173">
        <v>89592.114709699614</v>
      </c>
      <c r="J590" s="168">
        <f>IFERROR(MIN('MP Calculations'!$E$30/I590,1),"-")</f>
        <v>0.31014580161562261</v>
      </c>
      <c r="K590" s="12"/>
      <c r="L590" s="159">
        <v>2.441001</v>
      </c>
      <c r="M590" s="187" t="s">
        <v>408</v>
      </c>
      <c r="N590" s="187">
        <v>480.89954999999998</v>
      </c>
      <c r="O590" s="186">
        <f t="shared" si="26"/>
        <v>1173.87628244955</v>
      </c>
      <c r="P590" s="186">
        <f t="shared" si="27"/>
        <v>364.07280061788271</v>
      </c>
      <c r="Q590" s="215">
        <f>IF(P590="-",0,P590/(1+'General inputs'!$H$30)^'MP Calculations'!$C$40)</f>
        <v>808.71090923963823</v>
      </c>
    </row>
    <row r="591" spans="3:17" x14ac:dyDescent="0.25">
      <c r="C591" s="159"/>
      <c r="D591" s="165" t="s">
        <v>283</v>
      </c>
      <c r="E591" s="162">
        <v>33204</v>
      </c>
      <c r="F591" s="166" t="str">
        <f t="shared" si="25"/>
        <v>Date check - OK</v>
      </c>
      <c r="G591" s="68"/>
      <c r="H591" s="162" t="s">
        <v>279</v>
      </c>
      <c r="I591" s="173">
        <v>89592.114709699614</v>
      </c>
      <c r="J591" s="168">
        <f>IFERROR(MIN('MP Calculations'!$E$30/I591,1),"-")</f>
        <v>0.31014580161562261</v>
      </c>
      <c r="K591" s="12"/>
      <c r="L591" s="159">
        <v>39.992389000000003</v>
      </c>
      <c r="M591" s="187" t="s">
        <v>408</v>
      </c>
      <c r="N591" s="187">
        <v>480.89954999999998</v>
      </c>
      <c r="O591" s="186">
        <f t="shared" si="26"/>
        <v>19232.32187352495</v>
      </c>
      <c r="P591" s="186">
        <f t="shared" si="27"/>
        <v>5964.823884394069</v>
      </c>
      <c r="Q591" s="215">
        <f>IF(P591="-",0,P591/(1+'General inputs'!$H$30)^'MP Calculations'!$C$40)</f>
        <v>13249.597714566813</v>
      </c>
    </row>
    <row r="592" spans="3:17" x14ac:dyDescent="0.25">
      <c r="C592" s="159"/>
      <c r="D592" s="165" t="s">
        <v>283</v>
      </c>
      <c r="E592" s="162">
        <v>33204</v>
      </c>
      <c r="F592" s="166" t="str">
        <f t="shared" si="25"/>
        <v>Date check - OK</v>
      </c>
      <c r="G592" s="68"/>
      <c r="H592" s="162" t="s">
        <v>279</v>
      </c>
      <c r="I592" s="173">
        <v>89592.114709699614</v>
      </c>
      <c r="J592" s="168">
        <f>IFERROR(MIN('MP Calculations'!$E$30/I592,1),"-")</f>
        <v>0.31014580161562261</v>
      </c>
      <c r="K592" s="12"/>
      <c r="L592" s="159">
        <v>31.933577</v>
      </c>
      <c r="M592" s="187" t="s">
        <v>408</v>
      </c>
      <c r="N592" s="187">
        <v>480.89954999999998</v>
      </c>
      <c r="O592" s="186">
        <f t="shared" si="26"/>
        <v>15356.84280919035</v>
      </c>
      <c r="P592" s="186">
        <f t="shared" si="27"/>
        <v>4762.8603233414506</v>
      </c>
      <c r="Q592" s="215">
        <f>IF(P592="-",0,P592/(1+'General inputs'!$H$30)^'MP Calculations'!$C$40)</f>
        <v>10579.68927130468</v>
      </c>
    </row>
    <row r="593" spans="3:17" x14ac:dyDescent="0.25">
      <c r="C593" s="159"/>
      <c r="D593" s="165" t="s">
        <v>283</v>
      </c>
      <c r="E593" s="162">
        <v>33204</v>
      </c>
      <c r="F593" s="166" t="str">
        <f t="shared" si="25"/>
        <v>Date check - OK</v>
      </c>
      <c r="G593" s="68"/>
      <c r="H593" s="162" t="s">
        <v>279</v>
      </c>
      <c r="I593" s="173">
        <v>89592.114709699614</v>
      </c>
      <c r="J593" s="168">
        <f>IFERROR(MIN('MP Calculations'!$E$30/I593,1),"-")</f>
        <v>0.31014580161562261</v>
      </c>
      <c r="K593" s="12"/>
      <c r="L593" s="159">
        <v>14.013707999999999</v>
      </c>
      <c r="M593" s="187" t="s">
        <v>408</v>
      </c>
      <c r="N593" s="187">
        <v>480.89954999999998</v>
      </c>
      <c r="O593" s="186">
        <f t="shared" si="26"/>
        <v>6739.1858710313991</v>
      </c>
      <c r="P593" s="186">
        <f t="shared" si="27"/>
        <v>2090.1302042077114</v>
      </c>
      <c r="Q593" s="215">
        <f>IF(P593="-",0,P593/(1+'General inputs'!$H$30)^'MP Calculations'!$C$40)</f>
        <v>4642.783242816693</v>
      </c>
    </row>
    <row r="594" spans="3:17" x14ac:dyDescent="0.25">
      <c r="C594" s="159"/>
      <c r="D594" s="165" t="s">
        <v>283</v>
      </c>
      <c r="E594" s="162">
        <v>33204</v>
      </c>
      <c r="F594" s="166" t="str">
        <f t="shared" si="25"/>
        <v>Date check - OK</v>
      </c>
      <c r="G594" s="68"/>
      <c r="H594" s="162" t="s">
        <v>279</v>
      </c>
      <c r="I594" s="173">
        <v>89592.114709699614</v>
      </c>
      <c r="J594" s="168">
        <f>IFERROR(MIN('MP Calculations'!$E$30/I594,1),"-")</f>
        <v>0.31014580161562261</v>
      </c>
      <c r="K594" s="12"/>
      <c r="L594" s="159">
        <v>19.096064999999999</v>
      </c>
      <c r="M594" s="187" t="s">
        <v>408</v>
      </c>
      <c r="N594" s="187">
        <v>480.89954999999998</v>
      </c>
      <c r="O594" s="186">
        <f t="shared" si="26"/>
        <v>9183.2890652707501</v>
      </c>
      <c r="P594" s="186">
        <f t="shared" si="27"/>
        <v>2848.1585486163785</v>
      </c>
      <c r="Q594" s="215">
        <f>IF(P594="-",0,P594/(1+'General inputs'!$H$30)^'MP Calculations'!$C$40)</f>
        <v>6326.583270162213</v>
      </c>
    </row>
    <row r="595" spans="3:17" x14ac:dyDescent="0.25">
      <c r="C595" s="159"/>
      <c r="D595" s="165" t="s">
        <v>283</v>
      </c>
      <c r="E595" s="162">
        <v>33204</v>
      </c>
      <c r="F595" s="166" t="str">
        <f t="shared" si="25"/>
        <v>Date check - OK</v>
      </c>
      <c r="G595" s="68"/>
      <c r="H595" s="162" t="s">
        <v>279</v>
      </c>
      <c r="I595" s="173">
        <v>89592.114709699614</v>
      </c>
      <c r="J595" s="168">
        <f>IFERROR(MIN('MP Calculations'!$E$30/I595,1),"-")</f>
        <v>0.31014580161562261</v>
      </c>
      <c r="K595" s="12"/>
      <c r="L595" s="159">
        <v>21.210269</v>
      </c>
      <c r="M595" s="187" t="s">
        <v>408</v>
      </c>
      <c r="N595" s="187">
        <v>480.89954999999998</v>
      </c>
      <c r="O595" s="186">
        <f t="shared" si="26"/>
        <v>10200.008817478949</v>
      </c>
      <c r="P595" s="186">
        <f t="shared" si="27"/>
        <v>3163.4899111834275</v>
      </c>
      <c r="Q595" s="215">
        <f>IF(P595="-",0,P595/(1+'General inputs'!$H$30)^'MP Calculations'!$C$40)</f>
        <v>7027.0253589438553</v>
      </c>
    </row>
    <row r="596" spans="3:17" x14ac:dyDescent="0.25">
      <c r="C596" s="159"/>
      <c r="D596" s="165" t="s">
        <v>283</v>
      </c>
      <c r="E596" s="162">
        <v>33204</v>
      </c>
      <c r="F596" s="166" t="str">
        <f t="shared" si="25"/>
        <v>Date check - OK</v>
      </c>
      <c r="G596" s="68"/>
      <c r="H596" s="162" t="s">
        <v>279</v>
      </c>
      <c r="I596" s="173">
        <v>89592.114709699614</v>
      </c>
      <c r="J596" s="168">
        <f>IFERROR(MIN('MP Calculations'!$E$30/I596,1),"-")</f>
        <v>0.31014580161562261</v>
      </c>
      <c r="K596" s="12"/>
      <c r="L596" s="159">
        <v>47.462988000000003</v>
      </c>
      <c r="M596" s="187" t="s">
        <v>408</v>
      </c>
      <c r="N596" s="187">
        <v>480.89954999999998</v>
      </c>
      <c r="O596" s="186">
        <f t="shared" si="26"/>
        <v>22824.929570855402</v>
      </c>
      <c r="P596" s="186">
        <f t="shared" si="27"/>
        <v>7079.0560785730777</v>
      </c>
      <c r="Q596" s="215">
        <f>IF(P596="-",0,P596/(1+'General inputs'!$H$30)^'MP Calculations'!$C$40)</f>
        <v>15724.629437148957</v>
      </c>
    </row>
    <row r="597" spans="3:17" x14ac:dyDescent="0.25">
      <c r="C597" s="159"/>
      <c r="D597" s="165" t="s">
        <v>283</v>
      </c>
      <c r="E597" s="162">
        <v>33204</v>
      </c>
      <c r="F597" s="166" t="str">
        <f t="shared" si="25"/>
        <v>Date check - OK</v>
      </c>
      <c r="G597" s="68"/>
      <c r="H597" s="162" t="s">
        <v>279</v>
      </c>
      <c r="I597" s="173">
        <v>89592.114709699614</v>
      </c>
      <c r="J597" s="168">
        <f>IFERROR(MIN('MP Calculations'!$E$30/I597,1),"-")</f>
        <v>0.31014580161562261</v>
      </c>
      <c r="K597" s="12"/>
      <c r="L597" s="159">
        <v>81.328582999999995</v>
      </c>
      <c r="M597" s="187" t="s">
        <v>408</v>
      </c>
      <c r="N597" s="187">
        <v>480.89954999999998</v>
      </c>
      <c r="O597" s="186">
        <f t="shared" si="26"/>
        <v>39110.878966837648</v>
      </c>
      <c r="P597" s="186">
        <f t="shared" si="27"/>
        <v>12130.074909061455</v>
      </c>
      <c r="Q597" s="215">
        <f>IF(P597="-",0,P597/(1+'General inputs'!$H$30)^'MP Calculations'!$C$40)</f>
        <v>26944.402032240614</v>
      </c>
    </row>
    <row r="598" spans="3:17" x14ac:dyDescent="0.25">
      <c r="C598" s="159"/>
      <c r="D598" s="165" t="s">
        <v>283</v>
      </c>
      <c r="E598" s="162">
        <v>33204</v>
      </c>
      <c r="F598" s="166" t="str">
        <f t="shared" si="25"/>
        <v>Date check - OK</v>
      </c>
      <c r="G598" s="68"/>
      <c r="H598" s="162" t="s">
        <v>279</v>
      </c>
      <c r="I598" s="173">
        <v>89592.114709699614</v>
      </c>
      <c r="J598" s="168">
        <f>IFERROR(MIN('MP Calculations'!$E$30/I598,1),"-")</f>
        <v>0.31014580161562261</v>
      </c>
      <c r="K598" s="12"/>
      <c r="L598" s="159">
        <v>13.996782</v>
      </c>
      <c r="M598" s="187" t="s">
        <v>408</v>
      </c>
      <c r="N598" s="187">
        <v>480.89954999999998</v>
      </c>
      <c r="O598" s="186">
        <f t="shared" si="26"/>
        <v>6731.0461652480999</v>
      </c>
      <c r="P598" s="186">
        <f t="shared" si="27"/>
        <v>2087.6057086326346</v>
      </c>
      <c r="Q598" s="215">
        <f>IF(P598="-",0,P598/(1+'General inputs'!$H$30)^'MP Calculations'!$C$40)</f>
        <v>4637.1756085511643</v>
      </c>
    </row>
    <row r="599" spans="3:17" x14ac:dyDescent="0.25">
      <c r="C599" s="159"/>
      <c r="D599" s="165" t="s">
        <v>283</v>
      </c>
      <c r="E599" s="162">
        <v>33204</v>
      </c>
      <c r="F599" s="166" t="str">
        <f t="shared" ref="F599:F662" si="28">IF(E599="","-",IF(OR(E599&lt;$E$15,E599&gt;$E$16),"ERROR - date outside of range","Date check - OK"))</f>
        <v>Date check - OK</v>
      </c>
      <c r="G599" s="68"/>
      <c r="H599" s="162" t="s">
        <v>279</v>
      </c>
      <c r="I599" s="173">
        <v>89592.114709699614</v>
      </c>
      <c r="J599" s="168">
        <f>IFERROR(MIN('MP Calculations'!$E$30/I599,1),"-")</f>
        <v>0.31014580161562261</v>
      </c>
      <c r="K599" s="12"/>
      <c r="L599" s="159">
        <v>69.839195000000004</v>
      </c>
      <c r="M599" s="187" t="s">
        <v>408</v>
      </c>
      <c r="N599" s="187">
        <v>480.89954999999998</v>
      </c>
      <c r="O599" s="186">
        <f t="shared" ref="O599:O662" si="29">IF(N599="","-",L599*N599)</f>
        <v>33585.637447862253</v>
      </c>
      <c r="P599" s="186">
        <f t="shared" ref="P599:P662" si="30">IF(O599="-","-",IF(OR(E599&lt;$E$15,E599&gt;$E$16),0,O599*J599))</f>
        <v>10416.444449038912</v>
      </c>
      <c r="Q599" s="215">
        <f>IF(P599="-",0,P599/(1+'General inputs'!$H$30)^'MP Calculations'!$C$40)</f>
        <v>23137.933531782412</v>
      </c>
    </row>
    <row r="600" spans="3:17" x14ac:dyDescent="0.25">
      <c r="C600" s="159"/>
      <c r="D600" s="165" t="s">
        <v>284</v>
      </c>
      <c r="E600" s="162">
        <v>33235</v>
      </c>
      <c r="F600" s="166" t="str">
        <f t="shared" si="28"/>
        <v>Date check - OK</v>
      </c>
      <c r="G600" s="68"/>
      <c r="H600" s="162" t="s">
        <v>279</v>
      </c>
      <c r="I600" s="173">
        <v>89592.114709699614</v>
      </c>
      <c r="J600" s="168">
        <f>IFERROR(MIN('MP Calculations'!$E$30/I600,1),"-")</f>
        <v>0.31014580161562261</v>
      </c>
      <c r="K600" s="12"/>
      <c r="L600" s="159">
        <v>19.053839</v>
      </c>
      <c r="M600" s="187" t="s">
        <v>408</v>
      </c>
      <c r="N600" s="187">
        <v>304.56971499999997</v>
      </c>
      <c r="O600" s="186">
        <f t="shared" si="29"/>
        <v>5803.2223138858844</v>
      </c>
      <c r="P600" s="186">
        <f t="shared" si="30"/>
        <v>1799.845036493806</v>
      </c>
      <c r="Q600" s="215">
        <f>IF(P600="-",0,P600/(1+'General inputs'!$H$30)^'MP Calculations'!$C$40)</f>
        <v>3997.9759912937066</v>
      </c>
    </row>
    <row r="601" spans="3:17" x14ac:dyDescent="0.25">
      <c r="C601" s="159"/>
      <c r="D601" s="165" t="s">
        <v>283</v>
      </c>
      <c r="E601" s="162">
        <v>33253</v>
      </c>
      <c r="F601" s="166" t="str">
        <f t="shared" si="28"/>
        <v>Date check - OK</v>
      </c>
      <c r="G601" s="68"/>
      <c r="H601" s="162" t="s">
        <v>279</v>
      </c>
      <c r="I601" s="173">
        <v>89592.114709699614</v>
      </c>
      <c r="J601" s="168">
        <f>IFERROR(MIN('MP Calculations'!$E$30/I601,1),"-")</f>
        <v>0.31014580161562261</v>
      </c>
      <c r="K601" s="12"/>
      <c r="L601" s="159">
        <v>27.494861</v>
      </c>
      <c r="M601" s="187" t="s">
        <v>408</v>
      </c>
      <c r="N601" s="187">
        <v>480.89954999999998</v>
      </c>
      <c r="O601" s="186">
        <f t="shared" si="29"/>
        <v>13222.266282212549</v>
      </c>
      <c r="P601" s="186">
        <f t="shared" si="30"/>
        <v>4100.8303752720294</v>
      </c>
      <c r="Q601" s="215">
        <f>IF(P601="-",0,P601/(1+'General inputs'!$H$30)^'MP Calculations'!$C$40)</f>
        <v>9109.1294262998945</v>
      </c>
    </row>
    <row r="602" spans="3:17" x14ac:dyDescent="0.25">
      <c r="C602" s="159"/>
      <c r="D602" s="165" t="s">
        <v>318</v>
      </c>
      <c r="E602" s="162">
        <v>33431</v>
      </c>
      <c r="F602" s="166" t="str">
        <f t="shared" si="28"/>
        <v>Date check - OK</v>
      </c>
      <c r="G602" s="68"/>
      <c r="H602" s="162" t="s">
        <v>279</v>
      </c>
      <c r="I602" s="173">
        <v>89592.114709699614</v>
      </c>
      <c r="J602" s="168">
        <f>IFERROR(MIN('MP Calculations'!$E$30/I602,1),"-")</f>
        <v>0.31014580161562261</v>
      </c>
      <c r="K602" s="12"/>
      <c r="L602" s="159">
        <v>20.766995000000001</v>
      </c>
      <c r="M602" s="187" t="s">
        <v>408</v>
      </c>
      <c r="N602" s="187">
        <v>1186.218891</v>
      </c>
      <c r="O602" s="186">
        <f t="shared" si="29"/>
        <v>24634.201778302548</v>
      </c>
      <c r="P602" s="186">
        <f t="shared" si="30"/>
        <v>7640.1942576926394</v>
      </c>
      <c r="Q602" s="215">
        <f>IF(P602="-",0,P602/(1+'General inputs'!$H$30)^'MP Calculations'!$C$40)</f>
        <v>16971.079505032896</v>
      </c>
    </row>
    <row r="603" spans="3:17" x14ac:dyDescent="0.25">
      <c r="C603" s="159"/>
      <c r="D603" s="165" t="s">
        <v>306</v>
      </c>
      <c r="E603" s="162">
        <v>33431</v>
      </c>
      <c r="F603" s="166" t="str">
        <f t="shared" si="28"/>
        <v>Date check - OK</v>
      </c>
      <c r="G603" s="68"/>
      <c r="H603" s="162" t="s">
        <v>279</v>
      </c>
      <c r="I603" s="173">
        <v>89592.114709699614</v>
      </c>
      <c r="J603" s="168">
        <f>IFERROR(MIN('MP Calculations'!$E$30/I603,1),"-")</f>
        <v>0.31014580161562261</v>
      </c>
      <c r="K603" s="12"/>
      <c r="L603" s="159">
        <v>17.132971000000001</v>
      </c>
      <c r="M603" s="187" t="s">
        <v>408</v>
      </c>
      <c r="N603" s="187">
        <v>1362.548726</v>
      </c>
      <c r="O603" s="186">
        <f t="shared" si="29"/>
        <v>23344.507808644947</v>
      </c>
      <c r="P603" s="186">
        <f t="shared" si="30"/>
        <v>7240.2010876343484</v>
      </c>
      <c r="Q603" s="215">
        <f>IF(P603="-",0,P603/(1+'General inputs'!$H$30)^'MP Calculations'!$C$40)</f>
        <v>16082.57907407926</v>
      </c>
    </row>
    <row r="604" spans="3:17" x14ac:dyDescent="0.25">
      <c r="C604" s="159"/>
      <c r="D604" s="165" t="s">
        <v>306</v>
      </c>
      <c r="E604" s="162">
        <v>33431</v>
      </c>
      <c r="F604" s="166" t="str">
        <f t="shared" si="28"/>
        <v>Date check - OK</v>
      </c>
      <c r="G604" s="68"/>
      <c r="H604" s="162" t="s">
        <v>279</v>
      </c>
      <c r="I604" s="173">
        <v>89592.114709699614</v>
      </c>
      <c r="J604" s="168">
        <f>IFERROR(MIN('MP Calculations'!$E$30/I604,1),"-")</f>
        <v>0.31014580161562261</v>
      </c>
      <c r="K604" s="12"/>
      <c r="L604" s="159">
        <v>42.338003999999998</v>
      </c>
      <c r="M604" s="187" t="s">
        <v>408</v>
      </c>
      <c r="N604" s="187">
        <v>1362.548726</v>
      </c>
      <c r="O604" s="186">
        <f t="shared" si="29"/>
        <v>57687.5934115829</v>
      </c>
      <c r="P604" s="186">
        <f t="shared" si="30"/>
        <v>17891.564901911486</v>
      </c>
      <c r="Q604" s="215">
        <f>IF(P604="-",0,P604/(1+'General inputs'!$H$30)^'MP Calculations'!$C$40)</f>
        <v>39742.336409060859</v>
      </c>
    </row>
    <row r="605" spans="3:17" x14ac:dyDescent="0.25">
      <c r="C605" s="159"/>
      <c r="D605" s="165" t="s">
        <v>306</v>
      </c>
      <c r="E605" s="162">
        <v>33431</v>
      </c>
      <c r="F605" s="166" t="str">
        <f t="shared" si="28"/>
        <v>Date check - OK</v>
      </c>
      <c r="G605" s="68"/>
      <c r="H605" s="162" t="s">
        <v>279</v>
      </c>
      <c r="I605" s="173">
        <v>89592.114709699614</v>
      </c>
      <c r="J605" s="168">
        <f>IFERROR(MIN('MP Calculations'!$E$30/I605,1),"-")</f>
        <v>0.31014580161562261</v>
      </c>
      <c r="K605" s="12"/>
      <c r="L605" s="159">
        <v>27.930907000000001</v>
      </c>
      <c r="M605" s="187" t="s">
        <v>408</v>
      </c>
      <c r="N605" s="187">
        <v>1362.548726</v>
      </c>
      <c r="O605" s="186">
        <f t="shared" si="29"/>
        <v>38057.221748874486</v>
      </c>
      <c r="P605" s="186">
        <f t="shared" si="30"/>
        <v>11803.287546568185</v>
      </c>
      <c r="Q605" s="215">
        <f>IF(P605="-",0,P605/(1+'General inputs'!$H$30)^'MP Calculations'!$C$40)</f>
        <v>26218.512856775043</v>
      </c>
    </row>
    <row r="606" spans="3:17" x14ac:dyDescent="0.25">
      <c r="C606" s="159"/>
      <c r="D606" s="165" t="s">
        <v>306</v>
      </c>
      <c r="E606" s="162">
        <v>33431</v>
      </c>
      <c r="F606" s="166" t="str">
        <f t="shared" si="28"/>
        <v>Date check - OK</v>
      </c>
      <c r="G606" s="68"/>
      <c r="H606" s="162" t="s">
        <v>279</v>
      </c>
      <c r="I606" s="173">
        <v>89592.114709699614</v>
      </c>
      <c r="J606" s="168">
        <f>IFERROR(MIN('MP Calculations'!$E$30/I606,1),"-")</f>
        <v>0.31014580161562261</v>
      </c>
      <c r="K606" s="12"/>
      <c r="L606" s="159">
        <v>47.603532999999999</v>
      </c>
      <c r="M606" s="187" t="s">
        <v>408</v>
      </c>
      <c r="N606" s="187">
        <v>1362.548726</v>
      </c>
      <c r="O606" s="186">
        <f t="shared" si="29"/>
        <v>64862.133242248958</v>
      </c>
      <c r="P606" s="186">
        <f t="shared" si="30"/>
        <v>20116.718308916625</v>
      </c>
      <c r="Q606" s="215">
        <f>IF(P606="-",0,P606/(1+'General inputs'!$H$30)^'MP Calculations'!$C$40)</f>
        <v>44685.04520774835</v>
      </c>
    </row>
    <row r="607" spans="3:17" x14ac:dyDescent="0.25">
      <c r="C607" s="159"/>
      <c r="D607" s="165" t="s">
        <v>306</v>
      </c>
      <c r="E607" s="162">
        <v>33431</v>
      </c>
      <c r="F607" s="166" t="str">
        <f t="shared" si="28"/>
        <v>Date check - OK</v>
      </c>
      <c r="G607" s="68"/>
      <c r="H607" s="162" t="s">
        <v>279</v>
      </c>
      <c r="I607" s="173">
        <v>89592.114709699614</v>
      </c>
      <c r="J607" s="168">
        <f>IFERROR(MIN('MP Calculations'!$E$30/I607,1),"-")</f>
        <v>0.31014580161562261</v>
      </c>
      <c r="K607" s="12"/>
      <c r="L607" s="159">
        <v>88.951700000000002</v>
      </c>
      <c r="M607" s="187" t="s">
        <v>408</v>
      </c>
      <c r="N607" s="187">
        <v>1362.548726</v>
      </c>
      <c r="O607" s="186">
        <f t="shared" si="29"/>
        <v>121201.02551053421</v>
      </c>
      <c r="P607" s="186">
        <f t="shared" si="30"/>
        <v>37589.989213600158</v>
      </c>
      <c r="Q607" s="215">
        <f>IF(P607="-",0,P607/(1+'General inputs'!$H$30)^'MP Calculations'!$C$40)</f>
        <v>83498.229759670765</v>
      </c>
    </row>
    <row r="608" spans="3:17" x14ac:dyDescent="0.25">
      <c r="C608" s="159"/>
      <c r="D608" s="165" t="s">
        <v>318</v>
      </c>
      <c r="E608" s="162">
        <v>33431</v>
      </c>
      <c r="F608" s="166" t="str">
        <f t="shared" si="28"/>
        <v>Date check - OK</v>
      </c>
      <c r="G608" s="68"/>
      <c r="H608" s="162" t="s">
        <v>279</v>
      </c>
      <c r="I608" s="173">
        <v>89592.114709699614</v>
      </c>
      <c r="J608" s="168">
        <f>IFERROR(MIN('MP Calculations'!$E$30/I608,1),"-")</f>
        <v>0.31014580161562261</v>
      </c>
      <c r="K608" s="12"/>
      <c r="L608" s="159">
        <v>7.9629969999999997</v>
      </c>
      <c r="M608" s="187" t="s">
        <v>408</v>
      </c>
      <c r="N608" s="187">
        <v>1186.218891</v>
      </c>
      <c r="O608" s="186">
        <f t="shared" si="29"/>
        <v>9445.8574703763261</v>
      </c>
      <c r="P608" s="186">
        <f t="shared" si="30"/>
        <v>2929.5930370967826</v>
      </c>
      <c r="Q608" s="215">
        <f>IF(P608="-",0,P608/(1+'General inputs'!$H$30)^'MP Calculations'!$C$40)</f>
        <v>6507.4728040979644</v>
      </c>
    </row>
    <row r="609" spans="3:17" x14ac:dyDescent="0.25">
      <c r="C609" s="159"/>
      <c r="D609" s="165" t="s">
        <v>306</v>
      </c>
      <c r="E609" s="162">
        <v>33431</v>
      </c>
      <c r="F609" s="166" t="str">
        <f t="shared" si="28"/>
        <v>Date check - OK</v>
      </c>
      <c r="G609" s="68"/>
      <c r="H609" s="162" t="s">
        <v>279</v>
      </c>
      <c r="I609" s="173">
        <v>89592.114709699614</v>
      </c>
      <c r="J609" s="168">
        <f>IFERROR(MIN('MP Calculations'!$E$30/I609,1),"-")</f>
        <v>0.31014580161562261</v>
      </c>
      <c r="K609" s="12"/>
      <c r="L609" s="159">
        <v>45.772379000000001</v>
      </c>
      <c r="M609" s="187" t="s">
        <v>408</v>
      </c>
      <c r="N609" s="187">
        <v>1362.548726</v>
      </c>
      <c r="O609" s="186">
        <f t="shared" si="29"/>
        <v>62367.096692439154</v>
      </c>
      <c r="P609" s="186">
        <f t="shared" si="30"/>
        <v>19342.893198115587</v>
      </c>
      <c r="Q609" s="215">
        <f>IF(P609="-",0,P609/(1+'General inputs'!$H$30)^'MP Calculations'!$C$40)</f>
        <v>42966.155996891895</v>
      </c>
    </row>
    <row r="610" spans="3:17" x14ac:dyDescent="0.25">
      <c r="C610" s="159"/>
      <c r="D610" s="165" t="s">
        <v>306</v>
      </c>
      <c r="E610" s="162">
        <v>33431</v>
      </c>
      <c r="F610" s="166" t="str">
        <f t="shared" si="28"/>
        <v>Date check - OK</v>
      </c>
      <c r="G610" s="68"/>
      <c r="H610" s="162" t="s">
        <v>279</v>
      </c>
      <c r="I610" s="173">
        <v>89592.114709699614</v>
      </c>
      <c r="J610" s="168">
        <f>IFERROR(MIN('MP Calculations'!$E$30/I610,1),"-")</f>
        <v>0.31014580161562261</v>
      </c>
      <c r="K610" s="12"/>
      <c r="L610" s="159">
        <v>47.782015999999999</v>
      </c>
      <c r="M610" s="187" t="s">
        <v>408</v>
      </c>
      <c r="N610" s="187">
        <v>1362.548726</v>
      </c>
      <c r="O610" s="186">
        <f t="shared" si="29"/>
        <v>65105.325026511615</v>
      </c>
      <c r="P610" s="186">
        <f t="shared" si="30"/>
        <v>20192.143219793103</v>
      </c>
      <c r="Q610" s="215">
        <f>IF(P610="-",0,P610/(1+'General inputs'!$H$30)^'MP Calculations'!$C$40)</f>
        <v>44852.585733024382</v>
      </c>
    </row>
    <row r="611" spans="3:17" x14ac:dyDescent="0.25">
      <c r="C611" s="159"/>
      <c r="D611" s="165" t="s">
        <v>306</v>
      </c>
      <c r="E611" s="162">
        <v>33431</v>
      </c>
      <c r="F611" s="166" t="str">
        <f t="shared" si="28"/>
        <v>Date check - OK</v>
      </c>
      <c r="G611" s="68"/>
      <c r="H611" s="162" t="s">
        <v>279</v>
      </c>
      <c r="I611" s="173">
        <v>89592.114709699614</v>
      </c>
      <c r="J611" s="168">
        <f>IFERROR(MIN('MP Calculations'!$E$30/I611,1),"-")</f>
        <v>0.31014580161562261</v>
      </c>
      <c r="K611" s="12"/>
      <c r="L611" s="159">
        <v>24.528846999999999</v>
      </c>
      <c r="M611" s="187" t="s">
        <v>408</v>
      </c>
      <c r="N611" s="187">
        <v>1362.548726</v>
      </c>
      <c r="O611" s="186">
        <f t="shared" si="29"/>
        <v>33421.749230098918</v>
      </c>
      <c r="P611" s="186">
        <f t="shared" si="30"/>
        <v>10365.615206365346</v>
      </c>
      <c r="Q611" s="215">
        <f>IF(P611="-",0,P611/(1+'General inputs'!$H$30)^'MP Calculations'!$C$40)</f>
        <v>23025.027093870161</v>
      </c>
    </row>
    <row r="612" spans="3:17" x14ac:dyDescent="0.25">
      <c r="C612" s="159"/>
      <c r="D612" s="165" t="s">
        <v>306</v>
      </c>
      <c r="E612" s="162">
        <v>33431</v>
      </c>
      <c r="F612" s="166" t="str">
        <f t="shared" si="28"/>
        <v>Date check - OK</v>
      </c>
      <c r="G612" s="68"/>
      <c r="H612" s="162" t="s">
        <v>279</v>
      </c>
      <c r="I612" s="173">
        <v>89592.114709699614</v>
      </c>
      <c r="J612" s="168">
        <f>IFERROR(MIN('MP Calculations'!$E$30/I612,1),"-")</f>
        <v>0.31014580161562261</v>
      </c>
      <c r="K612" s="12"/>
      <c r="L612" s="159">
        <v>56.471091000000001</v>
      </c>
      <c r="M612" s="187" t="s">
        <v>408</v>
      </c>
      <c r="N612" s="187">
        <v>1362.548726</v>
      </c>
      <c r="O612" s="186">
        <f t="shared" si="29"/>
        <v>76944.613097880065</v>
      </c>
      <c r="P612" s="186">
        <f t="shared" si="30"/>
        <v>23864.048709245948</v>
      </c>
      <c r="Q612" s="215">
        <f>IF(P612="-",0,P612/(1+'General inputs'!$H$30)^'MP Calculations'!$C$40)</f>
        <v>53008.949026238683</v>
      </c>
    </row>
    <row r="613" spans="3:17" x14ac:dyDescent="0.25">
      <c r="C613" s="159"/>
      <c r="D613" s="165" t="s">
        <v>306</v>
      </c>
      <c r="E613" s="162">
        <v>33431</v>
      </c>
      <c r="F613" s="166" t="str">
        <f t="shared" si="28"/>
        <v>Date check - OK</v>
      </c>
      <c r="G613" s="68"/>
      <c r="H613" s="162" t="s">
        <v>279</v>
      </c>
      <c r="I613" s="173">
        <v>89592.114709699614</v>
      </c>
      <c r="J613" s="168">
        <f>IFERROR(MIN('MP Calculations'!$E$30/I613,1),"-")</f>
        <v>0.31014580161562261</v>
      </c>
      <c r="K613" s="12"/>
      <c r="L613" s="159">
        <v>88.331868</v>
      </c>
      <c r="M613" s="187" t="s">
        <v>408</v>
      </c>
      <c r="N613" s="187">
        <v>1362.548726</v>
      </c>
      <c r="O613" s="186">
        <f t="shared" si="29"/>
        <v>120356.47420860016</v>
      </c>
      <c r="P613" s="186">
        <f t="shared" si="30"/>
        <v>37328.055173056302</v>
      </c>
      <c r="Q613" s="215">
        <f>IF(P613="-",0,P613/(1+'General inputs'!$H$30)^'MP Calculations'!$C$40)</f>
        <v>82916.398555226129</v>
      </c>
    </row>
    <row r="614" spans="3:17" x14ac:dyDescent="0.25">
      <c r="C614" s="159"/>
      <c r="D614" s="165" t="s">
        <v>306</v>
      </c>
      <c r="E614" s="162">
        <v>33431</v>
      </c>
      <c r="F614" s="166" t="str">
        <f t="shared" si="28"/>
        <v>Date check - OK</v>
      </c>
      <c r="G614" s="68"/>
      <c r="H614" s="162" t="s">
        <v>279</v>
      </c>
      <c r="I614" s="173">
        <v>89592.114709699614</v>
      </c>
      <c r="J614" s="168">
        <f>IFERROR(MIN('MP Calculations'!$E$30/I614,1),"-")</f>
        <v>0.31014580161562261</v>
      </c>
      <c r="K614" s="12"/>
      <c r="L614" s="159">
        <v>41.577260000000003</v>
      </c>
      <c r="M614" s="187" t="s">
        <v>408</v>
      </c>
      <c r="N614" s="187">
        <v>1362.548726</v>
      </c>
      <c r="O614" s="186">
        <f t="shared" si="29"/>
        <v>56651.042643570763</v>
      </c>
      <c r="P614" s="186">
        <f t="shared" si="30"/>
        <v>17570.083033051076</v>
      </c>
      <c r="Q614" s="215">
        <f>IF(P614="-",0,P614/(1+'General inputs'!$H$30)^'MP Calculations'!$C$40)</f>
        <v>39028.232268271087</v>
      </c>
    </row>
    <row r="615" spans="3:17" x14ac:dyDescent="0.25">
      <c r="C615" s="159"/>
      <c r="D615" s="165" t="s">
        <v>306</v>
      </c>
      <c r="E615" s="162">
        <v>33431</v>
      </c>
      <c r="F615" s="166" t="str">
        <f t="shared" si="28"/>
        <v>Date check - OK</v>
      </c>
      <c r="G615" s="68"/>
      <c r="H615" s="162" t="s">
        <v>279</v>
      </c>
      <c r="I615" s="173">
        <v>89592.114709699614</v>
      </c>
      <c r="J615" s="168">
        <f>IFERROR(MIN('MP Calculations'!$E$30/I615,1),"-")</f>
        <v>0.31014580161562261</v>
      </c>
      <c r="K615" s="12"/>
      <c r="L615" s="159">
        <v>49.653472000000001</v>
      </c>
      <c r="M615" s="187" t="s">
        <v>408</v>
      </c>
      <c r="N615" s="187">
        <v>1362.548726</v>
      </c>
      <c r="O615" s="186">
        <f t="shared" si="29"/>
        <v>67655.275015076666</v>
      </c>
      <c r="P615" s="186">
        <f t="shared" si="30"/>
        <v>20982.999503076357</v>
      </c>
      <c r="Q615" s="215">
        <f>IF(P615="-",0,P615/(1+'General inputs'!$H$30)^'MP Calculations'!$C$40)</f>
        <v>46609.306100067552</v>
      </c>
    </row>
    <row r="616" spans="3:17" x14ac:dyDescent="0.25">
      <c r="C616" s="159"/>
      <c r="D616" s="165" t="s">
        <v>306</v>
      </c>
      <c r="E616" s="162">
        <v>33431</v>
      </c>
      <c r="F616" s="166" t="str">
        <f t="shared" si="28"/>
        <v>Date check - OK</v>
      </c>
      <c r="G616" s="68"/>
      <c r="H616" s="162" t="s">
        <v>279</v>
      </c>
      <c r="I616" s="173">
        <v>89592.114709699614</v>
      </c>
      <c r="J616" s="168">
        <f>IFERROR(MIN('MP Calculations'!$E$30/I616,1),"-")</f>
        <v>0.31014580161562261</v>
      </c>
      <c r="K616" s="12"/>
      <c r="L616" s="159">
        <v>57.335552999999997</v>
      </c>
      <c r="M616" s="187" t="s">
        <v>408</v>
      </c>
      <c r="N616" s="187">
        <v>1362.548726</v>
      </c>
      <c r="O616" s="186">
        <f t="shared" si="29"/>
        <v>78122.484694655475</v>
      </c>
      <c r="P616" s="186">
        <f t="shared" si="30"/>
        <v>24229.36063982813</v>
      </c>
      <c r="Q616" s="215">
        <f>IF(P616="-",0,P616/(1+'General inputs'!$H$30)^'MP Calculations'!$C$40)</f>
        <v>53820.412401244495</v>
      </c>
    </row>
    <row r="617" spans="3:17" x14ac:dyDescent="0.25">
      <c r="C617" s="159"/>
      <c r="D617" s="165" t="s">
        <v>306</v>
      </c>
      <c r="E617" s="162">
        <v>33431</v>
      </c>
      <c r="F617" s="166" t="str">
        <f t="shared" si="28"/>
        <v>Date check - OK</v>
      </c>
      <c r="G617" s="68"/>
      <c r="H617" s="162" t="s">
        <v>279</v>
      </c>
      <c r="I617" s="173">
        <v>89592.114709699614</v>
      </c>
      <c r="J617" s="168">
        <f>IFERROR(MIN('MP Calculations'!$E$30/I617,1),"-")</f>
        <v>0.31014580161562261</v>
      </c>
      <c r="K617" s="12"/>
      <c r="L617" s="159">
        <v>58.151620000000001</v>
      </c>
      <c r="M617" s="187" t="s">
        <v>408</v>
      </c>
      <c r="N617" s="187">
        <v>1362.548726</v>
      </c>
      <c r="O617" s="186">
        <f t="shared" si="29"/>
        <v>79234.415745836115</v>
      </c>
      <c r="P617" s="186">
        <f t="shared" si="30"/>
        <v>24574.221387037851</v>
      </c>
      <c r="Q617" s="215">
        <f>IF(P617="-",0,P617/(1+'General inputs'!$H$30)^'MP Calculations'!$C$40)</f>
        <v>54586.447787474157</v>
      </c>
    </row>
    <row r="618" spans="3:17" x14ac:dyDescent="0.25">
      <c r="C618" s="159"/>
      <c r="D618" s="165" t="s">
        <v>306</v>
      </c>
      <c r="E618" s="162">
        <v>33431</v>
      </c>
      <c r="F618" s="166" t="str">
        <f t="shared" si="28"/>
        <v>Date check - OK</v>
      </c>
      <c r="G618" s="68"/>
      <c r="H618" s="162" t="s">
        <v>279</v>
      </c>
      <c r="I618" s="173">
        <v>89592.114709699614</v>
      </c>
      <c r="J618" s="168">
        <f>IFERROR(MIN('MP Calculations'!$E$30/I618,1),"-")</f>
        <v>0.31014580161562261</v>
      </c>
      <c r="K618" s="12"/>
      <c r="L618" s="159">
        <v>84.448890000000006</v>
      </c>
      <c r="M618" s="187" t="s">
        <v>408</v>
      </c>
      <c r="N618" s="187">
        <v>1362.548726</v>
      </c>
      <c r="O618" s="186">
        <f t="shared" si="29"/>
        <v>115065.72748161414</v>
      </c>
      <c r="P618" s="186">
        <f t="shared" si="30"/>
        <v>35687.152288269994</v>
      </c>
      <c r="Q618" s="215">
        <f>IF(P618="-",0,P618/(1+'General inputs'!$H$30)^'MP Calculations'!$C$40)</f>
        <v>79271.479018041951</v>
      </c>
    </row>
    <row r="619" spans="3:17" x14ac:dyDescent="0.25">
      <c r="C619" s="159"/>
      <c r="D619" s="165" t="s">
        <v>318</v>
      </c>
      <c r="E619" s="162">
        <v>33431</v>
      </c>
      <c r="F619" s="166" t="str">
        <f t="shared" si="28"/>
        <v>Date check - OK</v>
      </c>
      <c r="G619" s="68"/>
      <c r="H619" s="162" t="s">
        <v>279</v>
      </c>
      <c r="I619" s="173">
        <v>89592.114709699614</v>
      </c>
      <c r="J619" s="168">
        <f>IFERROR(MIN('MP Calculations'!$E$30/I619,1),"-")</f>
        <v>0.31014580161562261</v>
      </c>
      <c r="K619" s="12"/>
      <c r="L619" s="159">
        <v>17.978797</v>
      </c>
      <c r="M619" s="187" t="s">
        <v>408</v>
      </c>
      <c r="N619" s="187">
        <v>1186.218891</v>
      </c>
      <c r="O619" s="186">
        <f t="shared" si="29"/>
        <v>21326.788638854126</v>
      </c>
      <c r="P619" s="186">
        <f t="shared" si="30"/>
        <v>6614.4139582843663</v>
      </c>
      <c r="Q619" s="215">
        <f>IF(P619="-",0,P619/(1+'General inputs'!$H$30)^'MP Calculations'!$C$40)</f>
        <v>14692.525003826837</v>
      </c>
    </row>
    <row r="620" spans="3:17" x14ac:dyDescent="0.25">
      <c r="C620" s="159"/>
      <c r="D620" s="165" t="s">
        <v>306</v>
      </c>
      <c r="E620" s="162">
        <v>33431</v>
      </c>
      <c r="F620" s="166" t="str">
        <f t="shared" si="28"/>
        <v>Date check - OK</v>
      </c>
      <c r="G620" s="68"/>
      <c r="H620" s="162" t="s">
        <v>279</v>
      </c>
      <c r="I620" s="173">
        <v>89592.114709699614</v>
      </c>
      <c r="J620" s="168">
        <f>IFERROR(MIN('MP Calculations'!$E$30/I620,1),"-")</f>
        <v>0.31014580161562261</v>
      </c>
      <c r="K620" s="12"/>
      <c r="L620" s="159">
        <v>27.807755</v>
      </c>
      <c r="M620" s="187" t="s">
        <v>408</v>
      </c>
      <c r="N620" s="187">
        <v>1362.548726</v>
      </c>
      <c r="O620" s="186">
        <f t="shared" si="29"/>
        <v>37889.421148170128</v>
      </c>
      <c r="P620" s="186">
        <f t="shared" si="30"/>
        <v>11751.244894751148</v>
      </c>
      <c r="Q620" s="215">
        <f>IF(P620="-",0,P620/(1+'General inputs'!$H$30)^'MP Calculations'!$C$40)</f>
        <v>26102.911086473145</v>
      </c>
    </row>
    <row r="621" spans="3:17" x14ac:dyDescent="0.25">
      <c r="C621" s="159"/>
      <c r="D621" s="165" t="s">
        <v>306</v>
      </c>
      <c r="E621" s="162">
        <v>33431</v>
      </c>
      <c r="F621" s="166" t="str">
        <f t="shared" si="28"/>
        <v>Date check - OK</v>
      </c>
      <c r="G621" s="68"/>
      <c r="H621" s="162" t="s">
        <v>279</v>
      </c>
      <c r="I621" s="173">
        <v>89592.114709699614</v>
      </c>
      <c r="J621" s="168">
        <f>IFERROR(MIN('MP Calculations'!$E$30/I621,1),"-")</f>
        <v>0.31014580161562261</v>
      </c>
      <c r="K621" s="12"/>
      <c r="L621" s="159">
        <v>35.201970000000003</v>
      </c>
      <c r="M621" s="187" t="s">
        <v>408</v>
      </c>
      <c r="N621" s="187">
        <v>1362.548726</v>
      </c>
      <c r="O621" s="186">
        <f t="shared" si="29"/>
        <v>47964.399376190224</v>
      </c>
      <c r="P621" s="186">
        <f t="shared" si="30"/>
        <v>14875.957093540386</v>
      </c>
      <c r="Q621" s="215">
        <f>IF(P621="-",0,P621/(1+'General inputs'!$H$30)^'MP Calculations'!$C$40)</f>
        <v>33043.799939214623</v>
      </c>
    </row>
    <row r="622" spans="3:17" x14ac:dyDescent="0.25">
      <c r="C622" s="159"/>
      <c r="D622" s="165" t="s">
        <v>306</v>
      </c>
      <c r="E622" s="162">
        <v>33431</v>
      </c>
      <c r="F622" s="166" t="str">
        <f t="shared" si="28"/>
        <v>Date check - OK</v>
      </c>
      <c r="G622" s="68"/>
      <c r="H622" s="162" t="s">
        <v>279</v>
      </c>
      <c r="I622" s="173">
        <v>89592.114709699614</v>
      </c>
      <c r="J622" s="168">
        <f>IFERROR(MIN('MP Calculations'!$E$30/I622,1),"-")</f>
        <v>0.31014580161562261</v>
      </c>
      <c r="K622" s="12"/>
      <c r="L622" s="159">
        <v>49.336060000000003</v>
      </c>
      <c r="M622" s="187" t="s">
        <v>408</v>
      </c>
      <c r="N622" s="187">
        <v>1362.548726</v>
      </c>
      <c r="O622" s="186">
        <f t="shared" si="29"/>
        <v>67222.785698859559</v>
      </c>
      <c r="P622" s="186">
        <f t="shared" si="30"/>
        <v>20848.86475740801</v>
      </c>
      <c r="Q622" s="215">
        <f>IF(P622="-",0,P622/(1+'General inputs'!$H$30)^'MP Calculations'!$C$40)</f>
        <v>46311.354064249499</v>
      </c>
    </row>
    <row r="623" spans="3:17" x14ac:dyDescent="0.25">
      <c r="C623" s="159"/>
      <c r="D623" s="165" t="s">
        <v>318</v>
      </c>
      <c r="E623" s="162">
        <v>33431</v>
      </c>
      <c r="F623" s="166" t="str">
        <f t="shared" si="28"/>
        <v>Date check - OK</v>
      </c>
      <c r="G623" s="68"/>
      <c r="H623" s="162" t="s">
        <v>279</v>
      </c>
      <c r="I623" s="173">
        <v>89592.114709699614</v>
      </c>
      <c r="J623" s="168">
        <f>IFERROR(MIN('MP Calculations'!$E$30/I623,1),"-")</f>
        <v>0.31014580161562261</v>
      </c>
      <c r="K623" s="12"/>
      <c r="L623" s="159">
        <v>23.875422</v>
      </c>
      <c r="M623" s="187" t="s">
        <v>408</v>
      </c>
      <c r="N623" s="187">
        <v>1186.218891</v>
      </c>
      <c r="O623" s="186">
        <f t="shared" si="29"/>
        <v>28321.476606997003</v>
      </c>
      <c r="P623" s="186">
        <f t="shared" si="30"/>
        <v>8783.7870652151887</v>
      </c>
      <c r="Q623" s="215">
        <f>IF(P623="-",0,P623/(1+'General inputs'!$H$30)^'MP Calculations'!$C$40)</f>
        <v>19511.329635231843</v>
      </c>
    </row>
    <row r="624" spans="3:17" x14ac:dyDescent="0.25">
      <c r="C624" s="159"/>
      <c r="D624" s="165" t="s">
        <v>306</v>
      </c>
      <c r="E624" s="162">
        <v>33431</v>
      </c>
      <c r="F624" s="166" t="str">
        <f t="shared" si="28"/>
        <v>Date check - OK</v>
      </c>
      <c r="G624" s="68"/>
      <c r="H624" s="162" t="s">
        <v>279</v>
      </c>
      <c r="I624" s="173">
        <v>89592.114709699614</v>
      </c>
      <c r="J624" s="168">
        <f>IFERROR(MIN('MP Calculations'!$E$30/I624,1),"-")</f>
        <v>0.31014580161562261</v>
      </c>
      <c r="K624" s="12"/>
      <c r="L624" s="159">
        <v>83.593137999999996</v>
      </c>
      <c r="M624" s="187" t="s">
        <v>408</v>
      </c>
      <c r="N624" s="187">
        <v>1362.548726</v>
      </c>
      <c r="O624" s="186">
        <f t="shared" si="29"/>
        <v>113899.72368424218</v>
      </c>
      <c r="P624" s="186">
        <f t="shared" si="30"/>
        <v>35325.521105847205</v>
      </c>
      <c r="Q624" s="215">
        <f>IF(P624="-",0,P624/(1+'General inputs'!$H$30)^'MP Calculations'!$C$40)</f>
        <v>78468.191648454886</v>
      </c>
    </row>
    <row r="625" spans="3:17" x14ac:dyDescent="0.25">
      <c r="C625" s="159"/>
      <c r="D625" s="165" t="s">
        <v>351</v>
      </c>
      <c r="E625" s="162">
        <v>33603</v>
      </c>
      <c r="F625" s="166" t="str">
        <f t="shared" si="28"/>
        <v>Date check - OK</v>
      </c>
      <c r="G625" s="68"/>
      <c r="H625" s="162" t="s">
        <v>279</v>
      </c>
      <c r="I625" s="173">
        <v>89592.114709699614</v>
      </c>
      <c r="J625" s="168">
        <f>IFERROR(MIN('MP Calculations'!$E$30/I625,1),"-")</f>
        <v>0.31014580161562261</v>
      </c>
      <c r="K625" s="12"/>
      <c r="L625" s="159">
        <v>1</v>
      </c>
      <c r="M625" s="187" t="s">
        <v>409</v>
      </c>
      <c r="N625" s="187">
        <v>36322.333857999998</v>
      </c>
      <c r="O625" s="186">
        <f t="shared" ref="O625:O628" si="31">IF(N625="","-",L625*N625)</f>
        <v>36322.333857999998</v>
      </c>
      <c r="P625" s="186">
        <f t="shared" ref="P625:P628" si="32">IF(O625="-","-",IF(OR(E625&lt;$E$15,E625&gt;$E$16),0,O625*J625))</f>
        <v>11265.21935093968</v>
      </c>
      <c r="Q625" s="215">
        <f>IF(P625="-",0,P625/(1+'General inputs'!$H$30)^'MP Calculations'!$C$40)</f>
        <v>25023.307889578475</v>
      </c>
    </row>
    <row r="626" spans="3:17" x14ac:dyDescent="0.25">
      <c r="C626" s="159"/>
      <c r="D626" s="165" t="s">
        <v>352</v>
      </c>
      <c r="E626" s="162">
        <v>33603</v>
      </c>
      <c r="F626" s="166" t="str">
        <f t="shared" si="28"/>
        <v>Date check - OK</v>
      </c>
      <c r="G626" s="68"/>
      <c r="H626" s="162" t="s">
        <v>279</v>
      </c>
      <c r="I626" s="173">
        <v>89592.114709699614</v>
      </c>
      <c r="J626" s="168">
        <f>IFERROR(MIN('MP Calculations'!$E$30/I626,1),"-")</f>
        <v>0.31014580161562261</v>
      </c>
      <c r="K626" s="12"/>
      <c r="L626" s="159">
        <v>1</v>
      </c>
      <c r="M626" s="187" t="s">
        <v>409</v>
      </c>
      <c r="N626" s="187">
        <v>135985.97258900001</v>
      </c>
      <c r="O626" s="186">
        <f t="shared" si="31"/>
        <v>135985.97258900001</v>
      </c>
      <c r="P626" s="186">
        <f t="shared" si="32"/>
        <v>42175.478477095494</v>
      </c>
      <c r="Q626" s="215">
        <f>IF(P626="-",0,P626/(1+'General inputs'!$H$30)^'MP Calculations'!$C$40)</f>
        <v>93683.926645832951</v>
      </c>
    </row>
    <row r="627" spans="3:17" x14ac:dyDescent="0.25">
      <c r="C627" s="159"/>
      <c r="D627" s="165" t="s">
        <v>284</v>
      </c>
      <c r="E627" s="162">
        <v>33654</v>
      </c>
      <c r="F627" s="166" t="str">
        <f t="shared" si="28"/>
        <v>Date check - OK</v>
      </c>
      <c r="G627" s="68"/>
      <c r="H627" s="162" t="s">
        <v>279</v>
      </c>
      <c r="I627" s="173">
        <v>89592.114709699614</v>
      </c>
      <c r="J627" s="168">
        <f>IFERROR(MIN('MP Calculations'!$E$30/I627,1),"-")</f>
        <v>0.31014580161562261</v>
      </c>
      <c r="K627" s="12"/>
      <c r="L627" s="159">
        <v>15.997576</v>
      </c>
      <c r="M627" s="187" t="s">
        <v>408</v>
      </c>
      <c r="N627" s="187">
        <v>304.56971499999997</v>
      </c>
      <c r="O627" s="186">
        <f t="shared" si="31"/>
        <v>4872.3771630108395</v>
      </c>
      <c r="P627" s="186">
        <f t="shared" si="32"/>
        <v>1511.1473209956498</v>
      </c>
      <c r="Q627" s="215">
        <f>IF(P627="-",0,P627/(1+'General inputs'!$H$30)^'MP Calculations'!$C$40)</f>
        <v>3356.6949299244316</v>
      </c>
    </row>
    <row r="628" spans="3:17" x14ac:dyDescent="0.25">
      <c r="C628" s="159"/>
      <c r="D628" s="165" t="s">
        <v>281</v>
      </c>
      <c r="E628" s="162">
        <v>33787</v>
      </c>
      <c r="F628" s="166" t="str">
        <f t="shared" si="28"/>
        <v>Date check - OK</v>
      </c>
      <c r="G628" s="68"/>
      <c r="H628" s="162" t="s">
        <v>279</v>
      </c>
      <c r="I628" s="173">
        <v>89592.114709699614</v>
      </c>
      <c r="J628" s="168">
        <f>IFERROR(MIN('MP Calculations'!$E$30/I628,1),"-")</f>
        <v>0.31014580161562261</v>
      </c>
      <c r="K628" s="12"/>
      <c r="L628" s="159">
        <v>7.007873</v>
      </c>
      <c r="M628" s="187" t="s">
        <v>408</v>
      </c>
      <c r="N628" s="187">
        <v>657.22938499999998</v>
      </c>
      <c r="O628" s="186">
        <f t="shared" si="31"/>
        <v>4605.780061948105</v>
      </c>
      <c r="P628" s="186">
        <f t="shared" si="32"/>
        <v>1428.4633493781469</v>
      </c>
      <c r="Q628" s="215">
        <f>IF(P628="-",0,P628/(1+'General inputs'!$H$30)^'MP Calculations'!$C$40)</f>
        <v>3173.0299328335973</v>
      </c>
    </row>
    <row r="629" spans="3:17" x14ac:dyDescent="0.25">
      <c r="C629" s="159"/>
      <c r="D629" s="165" t="s">
        <v>306</v>
      </c>
      <c r="E629" s="162">
        <v>33787</v>
      </c>
      <c r="F629" s="166" t="str">
        <f t="shared" si="28"/>
        <v>Date check - OK</v>
      </c>
      <c r="G629" s="68"/>
      <c r="H629" s="162" t="s">
        <v>279</v>
      </c>
      <c r="I629" s="173">
        <v>89592.114709699614</v>
      </c>
      <c r="J629" s="168">
        <f>IFERROR(MIN('MP Calculations'!$E$30/I629,1),"-")</f>
        <v>0.31014580161562261</v>
      </c>
      <c r="K629" s="12"/>
      <c r="L629" s="159">
        <v>43.53454</v>
      </c>
      <c r="M629" s="187" t="s">
        <v>408</v>
      </c>
      <c r="N629" s="187">
        <v>1362.548726</v>
      </c>
      <c r="O629" s="186">
        <f t="shared" si="29"/>
        <v>59317.93201399604</v>
      </c>
      <c r="P629" s="186">
        <f t="shared" si="30"/>
        <v>18397.207574661807</v>
      </c>
      <c r="Q629" s="215">
        <f>IF(P629="-",0,P629/(1+'General inputs'!$H$30)^'MP Calculations'!$C$40)</f>
        <v>40865.514918788256</v>
      </c>
    </row>
    <row r="630" spans="3:17" x14ac:dyDescent="0.25">
      <c r="C630" s="159"/>
      <c r="D630" s="165" t="s">
        <v>306</v>
      </c>
      <c r="E630" s="162">
        <v>33787</v>
      </c>
      <c r="F630" s="166" t="str">
        <f t="shared" si="28"/>
        <v>Date check - OK</v>
      </c>
      <c r="G630" s="68"/>
      <c r="H630" s="162" t="s">
        <v>279</v>
      </c>
      <c r="I630" s="173">
        <v>89592.114709699614</v>
      </c>
      <c r="J630" s="168">
        <f>IFERROR(MIN('MP Calculations'!$E$30/I630,1),"-")</f>
        <v>0.31014580161562261</v>
      </c>
      <c r="K630" s="12"/>
      <c r="L630" s="159">
        <v>75.452884999999995</v>
      </c>
      <c r="M630" s="187" t="s">
        <v>408</v>
      </c>
      <c r="N630" s="187">
        <v>1362.548726</v>
      </c>
      <c r="O630" s="186">
        <f t="shared" si="29"/>
        <v>102808.2323297745</v>
      </c>
      <c r="P630" s="186">
        <f t="shared" si="30"/>
        <v>31885.541628603081</v>
      </c>
      <c r="Q630" s="215">
        <f>IF(P630="-",0,P630/(1+'General inputs'!$H$30)^'MP Calculations'!$C$40)</f>
        <v>70827.00305626553</v>
      </c>
    </row>
    <row r="631" spans="3:17" x14ac:dyDescent="0.25">
      <c r="C631" s="159"/>
      <c r="D631" s="165" t="s">
        <v>306</v>
      </c>
      <c r="E631" s="162">
        <v>33787</v>
      </c>
      <c r="F631" s="166" t="str">
        <f t="shared" si="28"/>
        <v>Date check - OK</v>
      </c>
      <c r="G631" s="68"/>
      <c r="H631" s="162" t="s">
        <v>279</v>
      </c>
      <c r="I631" s="173">
        <v>89592.114709699614</v>
      </c>
      <c r="J631" s="168">
        <f>IFERROR(MIN('MP Calculations'!$E$30/I631,1),"-")</f>
        <v>0.31014580161562261</v>
      </c>
      <c r="K631" s="12"/>
      <c r="L631" s="159">
        <v>86.496236999999994</v>
      </c>
      <c r="M631" s="187" t="s">
        <v>408</v>
      </c>
      <c r="N631" s="187">
        <v>1362.548726</v>
      </c>
      <c r="O631" s="186">
        <f t="shared" si="29"/>
        <v>117855.33752814405</v>
      </c>
      <c r="P631" s="186">
        <f t="shared" si="30"/>
        <v>36552.338132346005</v>
      </c>
      <c r="Q631" s="215">
        <f>IF(P631="-",0,P631/(1+'General inputs'!$H$30)^'MP Calculations'!$C$40)</f>
        <v>81193.30682126293</v>
      </c>
    </row>
    <row r="632" spans="3:17" x14ac:dyDescent="0.25">
      <c r="C632" s="159"/>
      <c r="D632" s="165" t="s">
        <v>306</v>
      </c>
      <c r="E632" s="162">
        <v>33787</v>
      </c>
      <c r="F632" s="166" t="str">
        <f t="shared" si="28"/>
        <v>Date check - OK</v>
      </c>
      <c r="G632" s="68"/>
      <c r="H632" s="162" t="s">
        <v>279</v>
      </c>
      <c r="I632" s="173">
        <v>89592.114709699614</v>
      </c>
      <c r="J632" s="168">
        <f>IFERROR(MIN('MP Calculations'!$E$30/I632,1),"-")</f>
        <v>0.31014580161562261</v>
      </c>
      <c r="K632" s="12"/>
      <c r="L632" s="159">
        <v>36.601664</v>
      </c>
      <c r="M632" s="187" t="s">
        <v>408</v>
      </c>
      <c r="N632" s="187">
        <v>1362.548726</v>
      </c>
      <c r="O632" s="186">
        <f t="shared" si="29"/>
        <v>49871.55065268006</v>
      </c>
      <c r="P632" s="186">
        <f t="shared" si="30"/>
        <v>15467.452054989584</v>
      </c>
      <c r="Q632" s="215">
        <f>IF(P632="-",0,P632/(1+'General inputs'!$H$30)^'MP Calculations'!$C$40)</f>
        <v>34357.681193931872</v>
      </c>
    </row>
    <row r="633" spans="3:17" x14ac:dyDescent="0.25">
      <c r="C633" s="159"/>
      <c r="D633" s="165" t="s">
        <v>306</v>
      </c>
      <c r="E633" s="162">
        <v>33787</v>
      </c>
      <c r="F633" s="166" t="str">
        <f t="shared" si="28"/>
        <v>Date check - OK</v>
      </c>
      <c r="G633" s="68"/>
      <c r="H633" s="162" t="s">
        <v>279</v>
      </c>
      <c r="I633" s="173">
        <v>89592.114709699614</v>
      </c>
      <c r="J633" s="168">
        <f>IFERROR(MIN('MP Calculations'!$E$30/I633,1),"-")</f>
        <v>0.31014580161562261</v>
      </c>
      <c r="K633" s="12"/>
      <c r="L633" s="159">
        <v>69.744956000000002</v>
      </c>
      <c r="M633" s="187" t="s">
        <v>408</v>
      </c>
      <c r="N633" s="187">
        <v>1362.548726</v>
      </c>
      <c r="O633" s="186">
        <f t="shared" si="29"/>
        <v>95030.900942726061</v>
      </c>
      <c r="P633" s="186">
        <f t="shared" si="30"/>
        <v>29473.434951136602</v>
      </c>
      <c r="Q633" s="215">
        <f>IF(P633="-",0,P633/(1+'General inputs'!$H$30)^'MP Calculations'!$C$40)</f>
        <v>65469.017013346886</v>
      </c>
    </row>
    <row r="634" spans="3:17" x14ac:dyDescent="0.25">
      <c r="C634" s="159"/>
      <c r="D634" s="165" t="s">
        <v>306</v>
      </c>
      <c r="E634" s="162">
        <v>33787</v>
      </c>
      <c r="F634" s="166" t="str">
        <f t="shared" si="28"/>
        <v>Date check - OK</v>
      </c>
      <c r="G634" s="68"/>
      <c r="H634" s="162" t="s">
        <v>279</v>
      </c>
      <c r="I634" s="173">
        <v>89592.114709699614</v>
      </c>
      <c r="J634" s="168">
        <f>IFERROR(MIN('MP Calculations'!$E$30/I634,1),"-")</f>
        <v>0.31014580161562261</v>
      </c>
      <c r="K634" s="12"/>
      <c r="L634" s="159">
        <v>55.915376999999999</v>
      </c>
      <c r="M634" s="187" t="s">
        <v>408</v>
      </c>
      <c r="N634" s="187">
        <v>1362.548726</v>
      </c>
      <c r="O634" s="186">
        <f t="shared" si="29"/>
        <v>76187.425695159705</v>
      </c>
      <c r="P634" s="186">
        <f t="shared" si="30"/>
        <v>23629.210215255989</v>
      </c>
      <c r="Q634" s="215">
        <f>IF(P634="-",0,P634/(1+'General inputs'!$H$30)^'MP Calculations'!$C$40)</f>
        <v>52487.30486145414</v>
      </c>
    </row>
    <row r="635" spans="3:17" x14ac:dyDescent="0.25">
      <c r="C635" s="159"/>
      <c r="D635" s="165" t="s">
        <v>306</v>
      </c>
      <c r="E635" s="162">
        <v>33787</v>
      </c>
      <c r="F635" s="166" t="str">
        <f t="shared" si="28"/>
        <v>Date check - OK</v>
      </c>
      <c r="G635" s="68"/>
      <c r="H635" s="162" t="s">
        <v>279</v>
      </c>
      <c r="I635" s="173">
        <v>89592.114709699614</v>
      </c>
      <c r="J635" s="168">
        <f>IFERROR(MIN('MP Calculations'!$E$30/I635,1),"-")</f>
        <v>0.31014580161562261</v>
      </c>
      <c r="K635" s="12"/>
      <c r="L635" s="159">
        <v>9.3903960000000009</v>
      </c>
      <c r="M635" s="187" t="s">
        <v>408</v>
      </c>
      <c r="N635" s="187">
        <v>1362.548726</v>
      </c>
      <c r="O635" s="186">
        <f t="shared" si="29"/>
        <v>12794.872106435498</v>
      </c>
      <c r="P635" s="186">
        <f t="shared" si="30"/>
        <v>3968.2758660198074</v>
      </c>
      <c r="Q635" s="215">
        <f>IF(P635="-",0,P635/(1+'General inputs'!$H$30)^'MP Calculations'!$C$40)</f>
        <v>8814.6875522591854</v>
      </c>
    </row>
    <row r="636" spans="3:17" x14ac:dyDescent="0.25">
      <c r="C636" s="159"/>
      <c r="D636" s="165" t="s">
        <v>306</v>
      </c>
      <c r="E636" s="162">
        <v>33787</v>
      </c>
      <c r="F636" s="166" t="str">
        <f t="shared" si="28"/>
        <v>Date check - OK</v>
      </c>
      <c r="G636" s="68"/>
      <c r="H636" s="162" t="s">
        <v>279</v>
      </c>
      <c r="I636" s="173">
        <v>89592.114709699614</v>
      </c>
      <c r="J636" s="168">
        <f>IFERROR(MIN('MP Calculations'!$E$30/I636,1),"-")</f>
        <v>0.31014580161562261</v>
      </c>
      <c r="K636" s="12"/>
      <c r="L636" s="159">
        <v>7.7300399999999998</v>
      </c>
      <c r="M636" s="187" t="s">
        <v>408</v>
      </c>
      <c r="N636" s="187">
        <v>1362.548726</v>
      </c>
      <c r="O636" s="186">
        <f t="shared" si="29"/>
        <v>10532.556153929039</v>
      </c>
      <c r="P636" s="186">
        <f t="shared" si="30"/>
        <v>3266.628071421881</v>
      </c>
      <c r="Q636" s="215">
        <f>IF(P636="-",0,P636/(1+'General inputs'!$H$30)^'MP Calculations'!$C$40)</f>
        <v>7256.1250203362652</v>
      </c>
    </row>
    <row r="637" spans="3:17" x14ac:dyDescent="0.25">
      <c r="C637" s="159"/>
      <c r="D637" s="165" t="s">
        <v>306</v>
      </c>
      <c r="E637" s="162">
        <v>33787</v>
      </c>
      <c r="F637" s="166" t="str">
        <f t="shared" si="28"/>
        <v>Date check - OK</v>
      </c>
      <c r="G637" s="68"/>
      <c r="H637" s="162" t="s">
        <v>279</v>
      </c>
      <c r="I637" s="173">
        <v>89592.114709699614</v>
      </c>
      <c r="J637" s="168">
        <f>IFERROR(MIN('MP Calculations'!$E$30/I637,1),"-")</f>
        <v>0.31014580161562261</v>
      </c>
      <c r="K637" s="12"/>
      <c r="L637" s="159">
        <v>1.522656</v>
      </c>
      <c r="M637" s="187" t="s">
        <v>408</v>
      </c>
      <c r="N637" s="187">
        <v>1362.548726</v>
      </c>
      <c r="O637" s="186">
        <f t="shared" si="29"/>
        <v>2074.6929929362559</v>
      </c>
      <c r="P637" s="186">
        <f t="shared" si="30"/>
        <v>643.4573214005303</v>
      </c>
      <c r="Q637" s="215">
        <f>IF(P637="-",0,P637/(1+'General inputs'!$H$30)^'MP Calculations'!$C$40)</f>
        <v>1429.3046735806199</v>
      </c>
    </row>
    <row r="638" spans="3:17" x14ac:dyDescent="0.25">
      <c r="C638" s="159"/>
      <c r="D638" s="165" t="s">
        <v>306</v>
      </c>
      <c r="E638" s="162">
        <v>33787</v>
      </c>
      <c r="F638" s="166" t="str">
        <f t="shared" si="28"/>
        <v>Date check - OK</v>
      </c>
      <c r="G638" s="68"/>
      <c r="H638" s="162" t="s">
        <v>279</v>
      </c>
      <c r="I638" s="173">
        <v>89592.114709699614</v>
      </c>
      <c r="J638" s="168">
        <f>IFERROR(MIN('MP Calculations'!$E$30/I638,1),"-")</f>
        <v>0.31014580161562261</v>
      </c>
      <c r="K638" s="12"/>
      <c r="L638" s="159">
        <v>84.534401000000003</v>
      </c>
      <c r="M638" s="187" t="s">
        <v>408</v>
      </c>
      <c r="N638" s="187">
        <v>1362.548726</v>
      </c>
      <c r="O638" s="186">
        <f t="shared" si="29"/>
        <v>115182.24038572313</v>
      </c>
      <c r="P638" s="186">
        <f t="shared" si="30"/>
        <v>35723.28827631344</v>
      </c>
      <c r="Q638" s="215">
        <f>IF(P638="-",0,P638/(1+'General inputs'!$H$30)^'MP Calculations'!$C$40)</f>
        <v>79351.747490988273</v>
      </c>
    </row>
    <row r="639" spans="3:17" x14ac:dyDescent="0.25">
      <c r="C639" s="159"/>
      <c r="D639" s="165" t="s">
        <v>287</v>
      </c>
      <c r="E639" s="162">
        <v>33815</v>
      </c>
      <c r="F639" s="166" t="str">
        <f t="shared" si="28"/>
        <v>Date check - OK</v>
      </c>
      <c r="G639" s="68"/>
      <c r="H639" s="162" t="s">
        <v>279</v>
      </c>
      <c r="I639" s="173">
        <v>89592.114709699614</v>
      </c>
      <c r="J639" s="168">
        <f>IFERROR(MIN('MP Calculations'!$E$30/I639,1),"-")</f>
        <v>0.31014580161562261</v>
      </c>
      <c r="K639" s="12"/>
      <c r="L639" s="159">
        <v>1.7329889999999999</v>
      </c>
      <c r="M639" s="187" t="s">
        <v>408</v>
      </c>
      <c r="N639" s="187">
        <v>833.55921999999998</v>
      </c>
      <c r="O639" s="186">
        <f t="shared" si="29"/>
        <v>1444.5489591085798</v>
      </c>
      <c r="P639" s="186">
        <f t="shared" si="30"/>
        <v>448.02079489574373</v>
      </c>
      <c r="Q639" s="215">
        <f>IF(P639="-",0,P639/(1+'General inputs'!$H$30)^'MP Calculations'!$C$40)</f>
        <v>995.18366596871726</v>
      </c>
    </row>
    <row r="640" spans="3:17" x14ac:dyDescent="0.25">
      <c r="C640" s="159"/>
      <c r="D640" s="165" t="s">
        <v>287</v>
      </c>
      <c r="E640" s="162">
        <v>33815</v>
      </c>
      <c r="F640" s="166" t="str">
        <f t="shared" si="28"/>
        <v>Date check - OK</v>
      </c>
      <c r="G640" s="68"/>
      <c r="H640" s="162" t="s">
        <v>279</v>
      </c>
      <c r="I640" s="173">
        <v>89592.114709699614</v>
      </c>
      <c r="J640" s="168">
        <f>IFERROR(MIN('MP Calculations'!$E$30/I640,1),"-")</f>
        <v>0.31014580161562261</v>
      </c>
      <c r="K640" s="12"/>
      <c r="L640" s="159">
        <v>54.924776999999999</v>
      </c>
      <c r="M640" s="187" t="s">
        <v>408</v>
      </c>
      <c r="N640" s="187">
        <v>833.55921999999998</v>
      </c>
      <c r="O640" s="186">
        <f t="shared" si="29"/>
        <v>45783.05427479394</v>
      </c>
      <c r="P640" s="186">
        <f t="shared" si="30"/>
        <v>14199.422068467524</v>
      </c>
      <c r="Q640" s="215">
        <f>IF(P640="-",0,P640/(1+'General inputs'!$H$30)^'MP Calculations'!$C$40)</f>
        <v>31541.020126137148</v>
      </c>
    </row>
    <row r="641" spans="3:17" x14ac:dyDescent="0.25">
      <c r="C641" s="159"/>
      <c r="D641" s="165" t="s">
        <v>287</v>
      </c>
      <c r="E641" s="162">
        <v>33815</v>
      </c>
      <c r="F641" s="166" t="str">
        <f t="shared" si="28"/>
        <v>Date check - OK</v>
      </c>
      <c r="G641" s="68"/>
      <c r="H641" s="162" t="s">
        <v>279</v>
      </c>
      <c r="I641" s="173">
        <v>89592.114709699614</v>
      </c>
      <c r="J641" s="168">
        <f>IFERROR(MIN('MP Calculations'!$E$30/I641,1),"-")</f>
        <v>0.31014580161562261</v>
      </c>
      <c r="K641" s="12"/>
      <c r="L641" s="159">
        <v>10.478369000000001</v>
      </c>
      <c r="M641" s="187" t="s">
        <v>408</v>
      </c>
      <c r="N641" s="187">
        <v>833.55921999999998</v>
      </c>
      <c r="O641" s="186">
        <f t="shared" si="29"/>
        <v>8734.34109051218</v>
      </c>
      <c r="P641" s="186">
        <f t="shared" si="30"/>
        <v>2708.9192191011716</v>
      </c>
      <c r="Q641" s="215">
        <f>IF(P641="-",0,P641/(1+'General inputs'!$H$30)^'MP Calculations'!$C$40)</f>
        <v>6017.2924783671242</v>
      </c>
    </row>
    <row r="642" spans="3:17" x14ac:dyDescent="0.25">
      <c r="C642" s="159"/>
      <c r="D642" s="165" t="s">
        <v>293</v>
      </c>
      <c r="E642" s="162">
        <v>33815</v>
      </c>
      <c r="F642" s="166" t="str">
        <f t="shared" si="28"/>
        <v>Date check - OK</v>
      </c>
      <c r="G642" s="68"/>
      <c r="H642" s="162" t="s">
        <v>279</v>
      </c>
      <c r="I642" s="173">
        <v>89592.114709699614</v>
      </c>
      <c r="J642" s="168">
        <f>IFERROR(MIN('MP Calculations'!$E$30/I642,1),"-")</f>
        <v>0.31014580161562261</v>
      </c>
      <c r="K642" s="12"/>
      <c r="L642" s="159">
        <v>7.3651520000000001</v>
      </c>
      <c r="M642" s="187" t="s">
        <v>408</v>
      </c>
      <c r="N642" s="187">
        <v>1009.889055</v>
      </c>
      <c r="O642" s="186">
        <f t="shared" si="29"/>
        <v>7437.9863932113603</v>
      </c>
      <c r="P642" s="186">
        <f t="shared" si="30"/>
        <v>2306.8602523286308</v>
      </c>
      <c r="Q642" s="215">
        <f>IF(P642="-",0,P642/(1+'General inputs'!$H$30)^'MP Calculations'!$C$40)</f>
        <v>5124.2033158843824</v>
      </c>
    </row>
    <row r="643" spans="3:17" x14ac:dyDescent="0.25">
      <c r="C643" s="159"/>
      <c r="D643" s="165" t="s">
        <v>283</v>
      </c>
      <c r="E643" s="162">
        <v>33815</v>
      </c>
      <c r="F643" s="166" t="str">
        <f t="shared" si="28"/>
        <v>Date check - OK</v>
      </c>
      <c r="G643" s="68"/>
      <c r="H643" s="162" t="s">
        <v>279</v>
      </c>
      <c r="I643" s="173">
        <v>89592.114709699614</v>
      </c>
      <c r="J643" s="168">
        <f>IFERROR(MIN('MP Calculations'!$E$30/I643,1),"-")</f>
        <v>0.31014580161562261</v>
      </c>
      <c r="K643" s="12"/>
      <c r="L643" s="159">
        <v>69.972211999999999</v>
      </c>
      <c r="M643" s="187" t="s">
        <v>408</v>
      </c>
      <c r="N643" s="187">
        <v>480.89954999999998</v>
      </c>
      <c r="O643" s="186">
        <f t="shared" si="29"/>
        <v>33649.605263304598</v>
      </c>
      <c r="P643" s="186">
        <f t="shared" si="30"/>
        <v>10436.283798436878</v>
      </c>
      <c r="Q643" s="215">
        <f>IF(P643="-",0,P643/(1+'General inputs'!$H$30)^'MP Calculations'!$C$40)</f>
        <v>23182.002460477779</v>
      </c>
    </row>
    <row r="644" spans="3:17" x14ac:dyDescent="0.25">
      <c r="C644" s="159"/>
      <c r="D644" s="165" t="s">
        <v>293</v>
      </c>
      <c r="E644" s="162">
        <v>33815</v>
      </c>
      <c r="F644" s="166" t="str">
        <f t="shared" si="28"/>
        <v>Date check - OK</v>
      </c>
      <c r="G644" s="68"/>
      <c r="H644" s="162" t="s">
        <v>279</v>
      </c>
      <c r="I644" s="173">
        <v>89592.114709699614</v>
      </c>
      <c r="J644" s="168">
        <f>IFERROR(MIN('MP Calculations'!$E$30/I644,1),"-")</f>
        <v>0.31014580161562261</v>
      </c>
      <c r="K644" s="12"/>
      <c r="L644" s="159">
        <v>14.750135999999999</v>
      </c>
      <c r="M644" s="187" t="s">
        <v>408</v>
      </c>
      <c r="N644" s="187">
        <v>1009.889055</v>
      </c>
      <c r="O644" s="186">
        <f t="shared" si="29"/>
        <v>14896.00090616148</v>
      </c>
      <c r="P644" s="186">
        <f t="shared" si="30"/>
        <v>4619.9321419084927</v>
      </c>
      <c r="Q644" s="215">
        <f>IF(P644="-",0,P644/(1+'General inputs'!$H$30)^'MP Calculations'!$C$40)</f>
        <v>10262.204473301514</v>
      </c>
    </row>
    <row r="645" spans="3:17" x14ac:dyDescent="0.25">
      <c r="C645" s="159"/>
      <c r="D645" s="165" t="s">
        <v>283</v>
      </c>
      <c r="E645" s="162">
        <v>33815</v>
      </c>
      <c r="F645" s="166" t="str">
        <f t="shared" si="28"/>
        <v>Date check - OK</v>
      </c>
      <c r="G645" s="68"/>
      <c r="H645" s="162" t="s">
        <v>279</v>
      </c>
      <c r="I645" s="173">
        <v>89592.114709699614</v>
      </c>
      <c r="J645" s="168">
        <f>IFERROR(MIN('MP Calculations'!$E$30/I645,1),"-")</f>
        <v>0.31014580161562261</v>
      </c>
      <c r="K645" s="12"/>
      <c r="L645" s="159">
        <v>5.1838369999999996</v>
      </c>
      <c r="M645" s="187" t="s">
        <v>408</v>
      </c>
      <c r="N645" s="187">
        <v>480.89954999999998</v>
      </c>
      <c r="O645" s="186">
        <f t="shared" si="29"/>
        <v>2492.9048805733496</v>
      </c>
      <c r="P645" s="186">
        <f t="shared" si="30"/>
        <v>773.16398253691943</v>
      </c>
      <c r="Q645" s="215">
        <f>IF(P645="-",0,P645/(1+'General inputs'!$H$30)^'MP Calculations'!$C$40)</f>
        <v>1717.4206539120948</v>
      </c>
    </row>
    <row r="646" spans="3:17" x14ac:dyDescent="0.25">
      <c r="C646" s="159"/>
      <c r="D646" s="165" t="s">
        <v>293</v>
      </c>
      <c r="E646" s="162">
        <v>33815</v>
      </c>
      <c r="F646" s="166" t="str">
        <f t="shared" si="28"/>
        <v>Date check - OK</v>
      </c>
      <c r="G646" s="68"/>
      <c r="H646" s="162" t="s">
        <v>279</v>
      </c>
      <c r="I646" s="173">
        <v>89592.114709699614</v>
      </c>
      <c r="J646" s="168">
        <f>IFERROR(MIN('MP Calculations'!$E$30/I646,1),"-")</f>
        <v>0.31014580161562261</v>
      </c>
      <c r="K646" s="12"/>
      <c r="L646" s="159">
        <v>106.225567</v>
      </c>
      <c r="M646" s="187" t="s">
        <v>408</v>
      </c>
      <c r="N646" s="187">
        <v>1009.889055</v>
      </c>
      <c r="O646" s="186">
        <f t="shared" si="29"/>
        <v>107276.03747446918</v>
      </c>
      <c r="P646" s="186">
        <f t="shared" si="30"/>
        <v>33271.212636666816</v>
      </c>
      <c r="Q646" s="215">
        <f>IF(P646="-",0,P646/(1+'General inputs'!$H$30)^'MP Calculations'!$C$40)</f>
        <v>73904.97883181482</v>
      </c>
    </row>
    <row r="647" spans="3:17" x14ac:dyDescent="0.25">
      <c r="C647" s="159"/>
      <c r="D647" s="165" t="s">
        <v>293</v>
      </c>
      <c r="E647" s="162">
        <v>33815</v>
      </c>
      <c r="F647" s="166" t="str">
        <f t="shared" si="28"/>
        <v>Date check - OK</v>
      </c>
      <c r="G647" s="68"/>
      <c r="H647" s="162" t="s">
        <v>279</v>
      </c>
      <c r="I647" s="173">
        <v>89592.114709699614</v>
      </c>
      <c r="J647" s="168">
        <f>IFERROR(MIN('MP Calculations'!$E$30/I647,1),"-")</f>
        <v>0.31014580161562261</v>
      </c>
      <c r="K647" s="12"/>
      <c r="L647" s="159">
        <v>51.988129000000001</v>
      </c>
      <c r="M647" s="187" t="s">
        <v>408</v>
      </c>
      <c r="N647" s="187">
        <v>1009.889055</v>
      </c>
      <c r="O647" s="186">
        <f t="shared" si="29"/>
        <v>52502.242467028096</v>
      </c>
      <c r="P647" s="186">
        <f t="shared" si="30"/>
        <v>16283.350076554212</v>
      </c>
      <c r="Q647" s="215">
        <f>IF(P647="-",0,P647/(1+'General inputs'!$H$30)^'MP Calculations'!$C$40)</f>
        <v>36170.026498899824</v>
      </c>
    </row>
    <row r="648" spans="3:17" x14ac:dyDescent="0.25">
      <c r="C648" s="159"/>
      <c r="D648" s="165" t="s">
        <v>283</v>
      </c>
      <c r="E648" s="162">
        <v>33815</v>
      </c>
      <c r="F648" s="166" t="str">
        <f t="shared" si="28"/>
        <v>Date check - OK</v>
      </c>
      <c r="G648" s="68"/>
      <c r="H648" s="162" t="s">
        <v>279</v>
      </c>
      <c r="I648" s="173">
        <v>89592.114709699614</v>
      </c>
      <c r="J648" s="168">
        <f>IFERROR(MIN('MP Calculations'!$E$30/I648,1),"-")</f>
        <v>0.31014580161562261</v>
      </c>
      <c r="K648" s="12"/>
      <c r="L648" s="159">
        <v>40.099758999999999</v>
      </c>
      <c r="M648" s="187" t="s">
        <v>408</v>
      </c>
      <c r="N648" s="187">
        <v>480.89954999999998</v>
      </c>
      <c r="O648" s="186">
        <f t="shared" si="29"/>
        <v>19283.956058208449</v>
      </c>
      <c r="P648" s="186">
        <f t="shared" si="30"/>
        <v>5980.8380099935011</v>
      </c>
      <c r="Q648" s="215">
        <f>IF(P648="-",0,P648/(1+'General inputs'!$H$30)^'MP Calculations'!$C$40)</f>
        <v>13285.169715694652</v>
      </c>
    </row>
    <row r="649" spans="3:17" x14ac:dyDescent="0.25">
      <c r="C649" s="159"/>
      <c r="D649" s="165" t="s">
        <v>293</v>
      </c>
      <c r="E649" s="162">
        <v>33815</v>
      </c>
      <c r="F649" s="166" t="str">
        <f t="shared" si="28"/>
        <v>Date check - OK</v>
      </c>
      <c r="G649" s="68"/>
      <c r="H649" s="162" t="s">
        <v>279</v>
      </c>
      <c r="I649" s="173">
        <v>89592.114709699614</v>
      </c>
      <c r="J649" s="168">
        <f>IFERROR(MIN('MP Calculations'!$E$30/I649,1),"-")</f>
        <v>0.31014580161562261</v>
      </c>
      <c r="K649" s="12"/>
      <c r="L649" s="159">
        <v>15.996731</v>
      </c>
      <c r="M649" s="187" t="s">
        <v>408</v>
      </c>
      <c r="N649" s="187">
        <v>1009.889055</v>
      </c>
      <c r="O649" s="186">
        <f t="shared" si="29"/>
        <v>16154.923552679205</v>
      </c>
      <c r="P649" s="186">
        <f t="shared" si="30"/>
        <v>5010.3817152847942</v>
      </c>
      <c r="Q649" s="215">
        <f>IF(P649="-",0,P649/(1+'General inputs'!$H$30)^'MP Calculations'!$C$40)</f>
        <v>11129.50581787185</v>
      </c>
    </row>
    <row r="650" spans="3:17" x14ac:dyDescent="0.25">
      <c r="C650" s="159"/>
      <c r="D650" s="165" t="s">
        <v>283</v>
      </c>
      <c r="E650" s="162">
        <v>33815</v>
      </c>
      <c r="F650" s="166" t="str">
        <f t="shared" si="28"/>
        <v>Date check - OK</v>
      </c>
      <c r="G650" s="68"/>
      <c r="H650" s="162" t="s">
        <v>279</v>
      </c>
      <c r="I650" s="173">
        <v>89592.114709699614</v>
      </c>
      <c r="J650" s="168">
        <f>IFERROR(MIN('MP Calculations'!$E$30/I650,1),"-")</f>
        <v>0.31014580161562261</v>
      </c>
      <c r="K650" s="12"/>
      <c r="L650" s="159">
        <v>96.637637999999995</v>
      </c>
      <c r="M650" s="187" t="s">
        <v>408</v>
      </c>
      <c r="N650" s="187">
        <v>480.89954999999998</v>
      </c>
      <c r="O650" s="186">
        <f t="shared" si="29"/>
        <v>46472.996627262895</v>
      </c>
      <c r="P650" s="186">
        <f t="shared" si="30"/>
        <v>14413.404792442576</v>
      </c>
      <c r="Q650" s="215">
        <f>IF(P650="-",0,P650/(1+'General inputs'!$H$30)^'MP Calculations'!$C$40)</f>
        <v>32016.337598284885</v>
      </c>
    </row>
    <row r="651" spans="3:17" x14ac:dyDescent="0.25">
      <c r="C651" s="159"/>
      <c r="D651" s="165" t="s">
        <v>293</v>
      </c>
      <c r="E651" s="162">
        <v>33815</v>
      </c>
      <c r="F651" s="166" t="str">
        <f t="shared" si="28"/>
        <v>Date check - OK</v>
      </c>
      <c r="G651" s="68"/>
      <c r="H651" s="162" t="s">
        <v>279</v>
      </c>
      <c r="I651" s="173">
        <v>89592.114709699614</v>
      </c>
      <c r="J651" s="168">
        <f>IFERROR(MIN('MP Calculations'!$E$30/I651,1),"-")</f>
        <v>0.31014580161562261</v>
      </c>
      <c r="K651" s="12"/>
      <c r="L651" s="159">
        <v>65.091922999999994</v>
      </c>
      <c r="M651" s="187" t="s">
        <v>408</v>
      </c>
      <c r="N651" s="187">
        <v>1009.889055</v>
      </c>
      <c r="O651" s="186">
        <f t="shared" si="29"/>
        <v>65735.620606602752</v>
      </c>
      <c r="P651" s="186">
        <f t="shared" si="30"/>
        <v>20387.626747735252</v>
      </c>
      <c r="Q651" s="215">
        <f>IF(P651="-",0,P651/(1+'General inputs'!$H$30)^'MP Calculations'!$C$40)</f>
        <v>45286.811144412342</v>
      </c>
    </row>
    <row r="652" spans="3:17" x14ac:dyDescent="0.25">
      <c r="C652" s="159"/>
      <c r="D652" s="165" t="s">
        <v>293</v>
      </c>
      <c r="E652" s="162">
        <v>33815</v>
      </c>
      <c r="F652" s="166" t="str">
        <f t="shared" si="28"/>
        <v>Date check - OK</v>
      </c>
      <c r="G652" s="68"/>
      <c r="H652" s="162" t="s">
        <v>279</v>
      </c>
      <c r="I652" s="173">
        <v>89592.114709699614</v>
      </c>
      <c r="J652" s="168">
        <f>IFERROR(MIN('MP Calculations'!$E$30/I652,1),"-")</f>
        <v>0.31014580161562261</v>
      </c>
      <c r="K652" s="12"/>
      <c r="L652" s="159">
        <v>54.515515999999998</v>
      </c>
      <c r="M652" s="187" t="s">
        <v>408</v>
      </c>
      <c r="N652" s="187">
        <v>1009.889055</v>
      </c>
      <c r="O652" s="186">
        <f t="shared" si="29"/>
        <v>55054.62293607738</v>
      </c>
      <c r="P652" s="186">
        <f t="shared" si="30"/>
        <v>17074.96016315556</v>
      </c>
      <c r="Q652" s="215">
        <f>IF(P652="-",0,P652/(1+'General inputs'!$H$30)^'MP Calculations'!$C$40)</f>
        <v>37928.421280965835</v>
      </c>
    </row>
    <row r="653" spans="3:17" x14ac:dyDescent="0.25">
      <c r="C653" s="159"/>
      <c r="D653" s="165" t="s">
        <v>353</v>
      </c>
      <c r="E653" s="162">
        <v>33815</v>
      </c>
      <c r="F653" s="166" t="str">
        <f t="shared" si="28"/>
        <v>Date check - OK</v>
      </c>
      <c r="G653" s="68"/>
      <c r="H653" s="162" t="s">
        <v>279</v>
      </c>
      <c r="I653" s="173">
        <v>89592.114709699614</v>
      </c>
      <c r="J653" s="168">
        <f>IFERROR(MIN('MP Calculations'!$E$30/I653,1),"-")</f>
        <v>0.31014580161562261</v>
      </c>
      <c r="K653" s="12"/>
      <c r="L653" s="159">
        <v>13.320766000000001</v>
      </c>
      <c r="M653" s="187" t="s">
        <v>408</v>
      </c>
      <c r="N653" s="187">
        <v>439.934033</v>
      </c>
      <c r="O653" s="186">
        <f t="shared" si="29"/>
        <v>5860.2583090292783</v>
      </c>
      <c r="P653" s="186">
        <f t="shared" si="30"/>
        <v>1817.5345109284985</v>
      </c>
      <c r="Q653" s="215">
        <f>IF(P653="-",0,P653/(1+'General inputs'!$H$30)^'MP Calculations'!$C$40)</f>
        <v>4037.2694263698036</v>
      </c>
    </row>
    <row r="654" spans="3:17" x14ac:dyDescent="0.25">
      <c r="C654" s="159"/>
      <c r="D654" s="165" t="s">
        <v>353</v>
      </c>
      <c r="E654" s="162">
        <v>33815</v>
      </c>
      <c r="F654" s="166" t="str">
        <f t="shared" si="28"/>
        <v>Date check - OK</v>
      </c>
      <c r="G654" s="68"/>
      <c r="H654" s="162" t="s">
        <v>279</v>
      </c>
      <c r="I654" s="173">
        <v>89592.114709699614</v>
      </c>
      <c r="J654" s="168">
        <f>IFERROR(MIN('MP Calculations'!$E$30/I654,1),"-")</f>
        <v>0.31014580161562261</v>
      </c>
      <c r="K654" s="12"/>
      <c r="L654" s="159">
        <v>0.89386399999999999</v>
      </c>
      <c r="M654" s="187" t="s">
        <v>408</v>
      </c>
      <c r="N654" s="187">
        <v>439.934033</v>
      </c>
      <c r="O654" s="186">
        <f t="shared" si="29"/>
        <v>393.241194473512</v>
      </c>
      <c r="P654" s="186">
        <f t="shared" si="30"/>
        <v>121.96210548827231</v>
      </c>
      <c r="Q654" s="215">
        <f>IF(P654="-",0,P654/(1+'General inputs'!$H$30)^'MP Calculations'!$C$40)</f>
        <v>270.91308401728679</v>
      </c>
    </row>
    <row r="655" spans="3:17" x14ac:dyDescent="0.25">
      <c r="C655" s="159"/>
      <c r="D655" s="165" t="s">
        <v>285</v>
      </c>
      <c r="E655" s="162">
        <v>33815</v>
      </c>
      <c r="F655" s="166" t="str">
        <f t="shared" si="28"/>
        <v>Date check - OK</v>
      </c>
      <c r="G655" s="68"/>
      <c r="H655" s="162" t="s">
        <v>279</v>
      </c>
      <c r="I655" s="173">
        <v>89592.114709699614</v>
      </c>
      <c r="J655" s="168">
        <f>IFERROR(MIN('MP Calculations'!$E$30/I655,1),"-")</f>
        <v>0.31014580161562261</v>
      </c>
      <c r="K655" s="12"/>
      <c r="L655" s="159">
        <v>24.011717000000001</v>
      </c>
      <c r="M655" s="187" t="s">
        <v>408</v>
      </c>
      <c r="N655" s="187">
        <v>612.70164899999997</v>
      </c>
      <c r="O655" s="186">
        <f t="shared" si="29"/>
        <v>14712.018601221333</v>
      </c>
      <c r="P655" s="186">
        <f t="shared" si="30"/>
        <v>4562.8708024597408</v>
      </c>
      <c r="Q655" s="215">
        <f>IF(P655="-",0,P655/(1+'General inputs'!$H$30)^'MP Calculations'!$C$40)</f>
        <v>10135.454747340895</v>
      </c>
    </row>
    <row r="656" spans="3:17" x14ac:dyDescent="0.25">
      <c r="C656" s="159"/>
      <c r="D656" s="165" t="s">
        <v>285</v>
      </c>
      <c r="E656" s="162">
        <v>33815</v>
      </c>
      <c r="F656" s="166" t="str">
        <f t="shared" si="28"/>
        <v>Date check - OK</v>
      </c>
      <c r="G656" s="68"/>
      <c r="H656" s="162" t="s">
        <v>279</v>
      </c>
      <c r="I656" s="173">
        <v>89592.114709699614</v>
      </c>
      <c r="J656" s="168">
        <f>IFERROR(MIN('MP Calculations'!$E$30/I656,1),"-")</f>
        <v>0.31014580161562261</v>
      </c>
      <c r="K656" s="12"/>
      <c r="L656" s="159">
        <v>106.967119</v>
      </c>
      <c r="M656" s="187" t="s">
        <v>408</v>
      </c>
      <c r="N656" s="187">
        <v>612.70164899999997</v>
      </c>
      <c r="O656" s="186">
        <f t="shared" si="29"/>
        <v>65538.930200079223</v>
      </c>
      <c r="P656" s="186">
        <f t="shared" si="30"/>
        <v>20326.624043933909</v>
      </c>
      <c r="Q656" s="215">
        <f>IF(P656="-",0,P656/(1+'General inputs'!$H$30)^'MP Calculations'!$C$40)</f>
        <v>45151.306509148366</v>
      </c>
    </row>
    <row r="657" spans="3:17" x14ac:dyDescent="0.25">
      <c r="C657" s="159"/>
      <c r="D657" s="165" t="s">
        <v>353</v>
      </c>
      <c r="E657" s="162">
        <v>33815</v>
      </c>
      <c r="F657" s="166" t="str">
        <f t="shared" si="28"/>
        <v>Date check - OK</v>
      </c>
      <c r="G657" s="68"/>
      <c r="H657" s="162" t="s">
        <v>279</v>
      </c>
      <c r="I657" s="173">
        <v>89592.114709699614</v>
      </c>
      <c r="J657" s="168">
        <f>IFERROR(MIN('MP Calculations'!$E$30/I657,1),"-")</f>
        <v>0.31014580161562261</v>
      </c>
      <c r="K657" s="12"/>
      <c r="L657" s="159">
        <v>177.544252</v>
      </c>
      <c r="M657" s="187" t="s">
        <v>408</v>
      </c>
      <c r="N657" s="187">
        <v>439.934033</v>
      </c>
      <c r="O657" s="186">
        <f t="shared" si="29"/>
        <v>78107.758818328322</v>
      </c>
      <c r="P657" s="186">
        <f t="shared" si="30"/>
        <v>24224.793471110152</v>
      </c>
      <c r="Q657" s="215">
        <f>IF(P657="-",0,P657/(1+'General inputs'!$H$30)^'MP Calculations'!$C$40)</f>
        <v>53810.267399584664</v>
      </c>
    </row>
    <row r="658" spans="3:17" x14ac:dyDescent="0.25">
      <c r="C658" s="159"/>
      <c r="D658" s="165" t="s">
        <v>285</v>
      </c>
      <c r="E658" s="162">
        <v>33815</v>
      </c>
      <c r="F658" s="166" t="str">
        <f t="shared" si="28"/>
        <v>Date check - OK</v>
      </c>
      <c r="G658" s="68"/>
      <c r="H658" s="162" t="s">
        <v>279</v>
      </c>
      <c r="I658" s="173">
        <v>89592.114709699614</v>
      </c>
      <c r="J658" s="168">
        <f>IFERROR(MIN('MP Calculations'!$E$30/I658,1),"-")</f>
        <v>0.31014580161562261</v>
      </c>
      <c r="K658" s="12"/>
      <c r="L658" s="159">
        <v>178.153674</v>
      </c>
      <c r="M658" s="187" t="s">
        <v>408</v>
      </c>
      <c r="N658" s="187">
        <v>612.70164899999997</v>
      </c>
      <c r="O658" s="186">
        <f t="shared" si="29"/>
        <v>109155.04983520843</v>
      </c>
      <c r="P658" s="186">
        <f t="shared" si="30"/>
        <v>33853.98043153395</v>
      </c>
      <c r="Q658" s="215">
        <f>IF(P658="-",0,P658/(1+'General inputs'!$H$30)^'MP Calculations'!$C$40)</f>
        <v>75199.474527353552</v>
      </c>
    </row>
    <row r="659" spans="3:17" x14ac:dyDescent="0.25">
      <c r="C659" s="159"/>
      <c r="D659" s="165" t="s">
        <v>285</v>
      </c>
      <c r="E659" s="162">
        <v>33815</v>
      </c>
      <c r="F659" s="166" t="str">
        <f t="shared" si="28"/>
        <v>Date check - OK</v>
      </c>
      <c r="G659" s="68"/>
      <c r="H659" s="162" t="s">
        <v>279</v>
      </c>
      <c r="I659" s="173">
        <v>89592.114709699614</v>
      </c>
      <c r="J659" s="168">
        <f>IFERROR(MIN('MP Calculations'!$E$30/I659,1),"-")</f>
        <v>0.31014580161562261</v>
      </c>
      <c r="K659" s="12"/>
      <c r="L659" s="159">
        <v>8.4265469999999993</v>
      </c>
      <c r="M659" s="187" t="s">
        <v>408</v>
      </c>
      <c r="N659" s="187">
        <v>612.70164899999997</v>
      </c>
      <c r="O659" s="186">
        <f t="shared" si="29"/>
        <v>5162.9592422760024</v>
      </c>
      <c r="P659" s="186">
        <f t="shared" si="30"/>
        <v>1601.2701329044783</v>
      </c>
      <c r="Q659" s="215">
        <f>IF(P659="-",0,P659/(1+'General inputs'!$H$30)^'MP Calculations'!$C$40)</f>
        <v>3556.8837411685795</v>
      </c>
    </row>
    <row r="660" spans="3:17" x14ac:dyDescent="0.25">
      <c r="C660" s="159"/>
      <c r="D660" s="165" t="s">
        <v>353</v>
      </c>
      <c r="E660" s="162">
        <v>33815</v>
      </c>
      <c r="F660" s="166" t="str">
        <f t="shared" si="28"/>
        <v>Date check - OK</v>
      </c>
      <c r="G660" s="68"/>
      <c r="H660" s="162" t="s">
        <v>279</v>
      </c>
      <c r="I660" s="173">
        <v>89592.114709699614</v>
      </c>
      <c r="J660" s="168">
        <f>IFERROR(MIN('MP Calculations'!$E$30/I660,1),"-")</f>
        <v>0.31014580161562261</v>
      </c>
      <c r="K660" s="12"/>
      <c r="L660" s="159">
        <v>139.77935400000001</v>
      </c>
      <c r="M660" s="187" t="s">
        <v>408</v>
      </c>
      <c r="N660" s="187">
        <v>439.934033</v>
      </c>
      <c r="O660" s="186">
        <f t="shared" si="29"/>
        <v>61493.694935354688</v>
      </c>
      <c r="P660" s="186">
        <f t="shared" si="30"/>
        <v>19072.011310032132</v>
      </c>
      <c r="Q660" s="215">
        <f>IF(P660="-",0,P660/(1+'General inputs'!$H$30)^'MP Calculations'!$C$40)</f>
        <v>42364.449037084036</v>
      </c>
    </row>
    <row r="661" spans="3:17" x14ac:dyDescent="0.25">
      <c r="C661" s="159"/>
      <c r="D661" s="165" t="s">
        <v>281</v>
      </c>
      <c r="E661" s="162">
        <v>33826</v>
      </c>
      <c r="F661" s="166" t="str">
        <f t="shared" si="28"/>
        <v>Date check - OK</v>
      </c>
      <c r="G661" s="68"/>
      <c r="H661" s="162" t="s">
        <v>279</v>
      </c>
      <c r="I661" s="173">
        <v>89592.114709699614</v>
      </c>
      <c r="J661" s="168">
        <f>IFERROR(MIN('MP Calculations'!$E$30/I661,1),"-")</f>
        <v>0.31014580161562261</v>
      </c>
      <c r="K661" s="12"/>
      <c r="L661" s="159">
        <v>66.004478000000006</v>
      </c>
      <c r="M661" s="187" t="s">
        <v>408</v>
      </c>
      <c r="N661" s="187">
        <v>657.22938499999998</v>
      </c>
      <c r="O661" s="186">
        <f t="shared" si="29"/>
        <v>43380.08248318603</v>
      </c>
      <c r="P661" s="186">
        <f t="shared" si="30"/>
        <v>13454.15045589956</v>
      </c>
      <c r="Q661" s="215">
        <f>IF(P661="-",0,P661/(1+'General inputs'!$H$30)^'MP Calculations'!$C$40)</f>
        <v>29885.556486976388</v>
      </c>
    </row>
    <row r="662" spans="3:17" x14ac:dyDescent="0.25">
      <c r="C662" s="159"/>
      <c r="D662" s="165" t="s">
        <v>281</v>
      </c>
      <c r="E662" s="162">
        <v>33826</v>
      </c>
      <c r="F662" s="166" t="str">
        <f t="shared" si="28"/>
        <v>Date check - OK</v>
      </c>
      <c r="G662" s="68"/>
      <c r="H662" s="162" t="s">
        <v>279</v>
      </c>
      <c r="I662" s="173">
        <v>89592.114709699614</v>
      </c>
      <c r="J662" s="168">
        <f>IFERROR(MIN('MP Calculations'!$E$30/I662,1),"-")</f>
        <v>0.31014580161562261</v>
      </c>
      <c r="K662" s="12"/>
      <c r="L662" s="159">
        <v>82.767290000000003</v>
      </c>
      <c r="M662" s="187" t="s">
        <v>408</v>
      </c>
      <c r="N662" s="187">
        <v>657.22938499999998</v>
      </c>
      <c r="O662" s="186">
        <f t="shared" si="29"/>
        <v>54397.095104816653</v>
      </c>
      <c r="P662" s="186">
        <f t="shared" si="30"/>
        <v>16871.030666844621</v>
      </c>
      <c r="Q662" s="215">
        <f>IF(P662="-",0,P662/(1+'General inputs'!$H$30)^'MP Calculations'!$C$40)</f>
        <v>37475.434932898883</v>
      </c>
    </row>
    <row r="663" spans="3:17" x14ac:dyDescent="0.25">
      <c r="C663" s="159"/>
      <c r="D663" s="165" t="s">
        <v>281</v>
      </c>
      <c r="E663" s="162">
        <v>33826</v>
      </c>
      <c r="F663" s="166" t="str">
        <f t="shared" ref="F663:F726" si="33">IF(E663="","-",IF(OR(E663&lt;$E$15,E663&gt;$E$16),"ERROR - date outside of range","Date check - OK"))</f>
        <v>Date check - OK</v>
      </c>
      <c r="G663" s="68"/>
      <c r="H663" s="162" t="s">
        <v>279</v>
      </c>
      <c r="I663" s="173">
        <v>89592.114709699614</v>
      </c>
      <c r="J663" s="168">
        <f>IFERROR(MIN('MP Calculations'!$E$30/I663,1),"-")</f>
        <v>0.31014580161562261</v>
      </c>
      <c r="K663" s="12"/>
      <c r="L663" s="159">
        <v>38.516238000000001</v>
      </c>
      <c r="M663" s="187" t="s">
        <v>408</v>
      </c>
      <c r="N663" s="187">
        <v>657.22938499999998</v>
      </c>
      <c r="O663" s="186">
        <f t="shared" ref="O663:O726" si="34">IF(N663="","-",L663*N663)</f>
        <v>25314.003413253631</v>
      </c>
      <c r="P663" s="186">
        <f t="shared" ref="P663:P726" si="35">IF(O663="-","-",IF(OR(E663&lt;$E$15,E663&gt;$E$16),0,O663*J663))</f>
        <v>7851.031880704154</v>
      </c>
      <c r="Q663" s="215">
        <f>IF(P663="-",0,P663/(1+'General inputs'!$H$30)^'MP Calculations'!$C$40)</f>
        <v>17439.41079898892</v>
      </c>
    </row>
    <row r="664" spans="3:17" x14ac:dyDescent="0.25">
      <c r="C664" s="159"/>
      <c r="D664" s="165" t="s">
        <v>281</v>
      </c>
      <c r="E664" s="162">
        <v>33826</v>
      </c>
      <c r="F664" s="166" t="str">
        <f t="shared" si="33"/>
        <v>Date check - OK</v>
      </c>
      <c r="G664" s="68"/>
      <c r="H664" s="162" t="s">
        <v>279</v>
      </c>
      <c r="I664" s="173">
        <v>89592.114709699614</v>
      </c>
      <c r="J664" s="168">
        <f>IFERROR(MIN('MP Calculations'!$E$30/I664,1),"-")</f>
        <v>0.31014580161562261</v>
      </c>
      <c r="K664" s="12"/>
      <c r="L664" s="159">
        <v>62.090814000000002</v>
      </c>
      <c r="M664" s="187" t="s">
        <v>408</v>
      </c>
      <c r="N664" s="187">
        <v>657.22938499999998</v>
      </c>
      <c r="O664" s="186">
        <f t="shared" si="34"/>
        <v>40807.907499369387</v>
      </c>
      <c r="P664" s="186">
        <f t="shared" si="35"/>
        <v>12656.401183648095</v>
      </c>
      <c r="Q664" s="215">
        <f>IF(P664="-",0,P664/(1+'General inputs'!$H$30)^'MP Calculations'!$C$40)</f>
        <v>28113.524799322615</v>
      </c>
    </row>
    <row r="665" spans="3:17" x14ac:dyDescent="0.25">
      <c r="C665" s="159"/>
      <c r="D665" s="165" t="s">
        <v>295</v>
      </c>
      <c r="E665" s="162">
        <v>33830</v>
      </c>
      <c r="F665" s="166" t="str">
        <f t="shared" si="33"/>
        <v>Date check - OK</v>
      </c>
      <c r="G665" s="68"/>
      <c r="H665" s="162" t="s">
        <v>279</v>
      </c>
      <c r="I665" s="173">
        <v>89592.114709699614</v>
      </c>
      <c r="J665" s="168">
        <f>IFERROR(MIN('MP Calculations'!$E$30/I665,1),"-")</f>
        <v>0.31014580161562261</v>
      </c>
      <c r="K665" s="12"/>
      <c r="L665" s="159">
        <v>2.8302999999999998</v>
      </c>
      <c r="M665" s="187" t="s">
        <v>408</v>
      </c>
      <c r="N665" s="187">
        <v>137.14542700000001</v>
      </c>
      <c r="O665" s="186">
        <f t="shared" si="34"/>
        <v>388.16270203810001</v>
      </c>
      <c r="P665" s="186">
        <f t="shared" si="35"/>
        <v>120.38703238089259</v>
      </c>
      <c r="Q665" s="215">
        <f>IF(P665="-",0,P665/(1+'General inputs'!$H$30)^'MP Calculations'!$C$40)</f>
        <v>267.41439144089503</v>
      </c>
    </row>
    <row r="666" spans="3:17" x14ac:dyDescent="0.25">
      <c r="C666" s="159"/>
      <c r="D666" s="165" t="s">
        <v>295</v>
      </c>
      <c r="E666" s="162">
        <v>33830</v>
      </c>
      <c r="F666" s="166" t="str">
        <f t="shared" si="33"/>
        <v>Date check - OK</v>
      </c>
      <c r="G666" s="68"/>
      <c r="H666" s="162" t="s">
        <v>279</v>
      </c>
      <c r="I666" s="173">
        <v>89592.114709699614</v>
      </c>
      <c r="J666" s="168">
        <f>IFERROR(MIN('MP Calculations'!$E$30/I666,1),"-")</f>
        <v>0.31014580161562261</v>
      </c>
      <c r="K666" s="12"/>
      <c r="L666" s="159">
        <v>3.0985619999999998</v>
      </c>
      <c r="M666" s="187" t="s">
        <v>408</v>
      </c>
      <c r="N666" s="187">
        <v>137.14542700000001</v>
      </c>
      <c r="O666" s="186">
        <f t="shared" si="34"/>
        <v>424.95360857597399</v>
      </c>
      <c r="P666" s="186">
        <f t="shared" si="35"/>
        <v>131.79757758124697</v>
      </c>
      <c r="Q666" s="215">
        <f>IF(P666="-",0,P666/(1+'General inputs'!$H$30)^'MP Calculations'!$C$40)</f>
        <v>292.76051004200349</v>
      </c>
    </row>
    <row r="667" spans="3:17" x14ac:dyDescent="0.25">
      <c r="C667" s="159"/>
      <c r="D667" s="165" t="s">
        <v>295</v>
      </c>
      <c r="E667" s="162">
        <v>33830</v>
      </c>
      <c r="F667" s="166" t="str">
        <f t="shared" si="33"/>
        <v>Date check - OK</v>
      </c>
      <c r="G667" s="68"/>
      <c r="H667" s="162" t="s">
        <v>279</v>
      </c>
      <c r="I667" s="173">
        <v>89592.114709699614</v>
      </c>
      <c r="J667" s="168">
        <f>IFERROR(MIN('MP Calculations'!$E$30/I667,1),"-")</f>
        <v>0.31014580161562261</v>
      </c>
      <c r="K667" s="12"/>
      <c r="L667" s="159">
        <v>29.987909999999999</v>
      </c>
      <c r="M667" s="187" t="s">
        <v>408</v>
      </c>
      <c r="N667" s="187">
        <v>137.14542700000001</v>
      </c>
      <c r="O667" s="186">
        <f t="shared" si="34"/>
        <v>4112.7047217875706</v>
      </c>
      <c r="P667" s="186">
        <f t="shared" si="35"/>
        <v>1275.5381027471622</v>
      </c>
      <c r="Q667" s="215">
        <f>IF(P667="-",0,P667/(1+'General inputs'!$H$30)^'MP Calculations'!$C$40)</f>
        <v>2833.3387638180866</v>
      </c>
    </row>
    <row r="668" spans="3:17" x14ac:dyDescent="0.25">
      <c r="C668" s="159"/>
      <c r="D668" s="165" t="s">
        <v>295</v>
      </c>
      <c r="E668" s="162">
        <v>33830</v>
      </c>
      <c r="F668" s="166" t="str">
        <f t="shared" si="33"/>
        <v>Date check - OK</v>
      </c>
      <c r="G668" s="68"/>
      <c r="H668" s="162" t="s">
        <v>279</v>
      </c>
      <c r="I668" s="173">
        <v>89592.114709699614</v>
      </c>
      <c r="J668" s="168">
        <f>IFERROR(MIN('MP Calculations'!$E$30/I668,1),"-")</f>
        <v>0.31014580161562261</v>
      </c>
      <c r="K668" s="12"/>
      <c r="L668" s="159">
        <v>5.299328</v>
      </c>
      <c r="M668" s="187" t="s">
        <v>408</v>
      </c>
      <c r="N668" s="187">
        <v>137.14542700000001</v>
      </c>
      <c r="O668" s="186">
        <f t="shared" si="34"/>
        <v>726.77860137305606</v>
      </c>
      <c r="P668" s="186">
        <f t="shared" si="35"/>
        <v>225.40733191992751</v>
      </c>
      <c r="Q668" s="215">
        <f>IF(P668="-",0,P668/(1+'General inputs'!$H$30)^'MP Calculations'!$C$40)</f>
        <v>500.69482816863774</v>
      </c>
    </row>
    <row r="669" spans="3:17" x14ac:dyDescent="0.25">
      <c r="C669" s="159"/>
      <c r="D669" s="165" t="s">
        <v>295</v>
      </c>
      <c r="E669" s="162">
        <v>33830</v>
      </c>
      <c r="F669" s="166" t="str">
        <f t="shared" si="33"/>
        <v>Date check - OK</v>
      </c>
      <c r="G669" s="68"/>
      <c r="H669" s="162" t="s">
        <v>279</v>
      </c>
      <c r="I669" s="173">
        <v>89592.114709699614</v>
      </c>
      <c r="J669" s="168">
        <f>IFERROR(MIN('MP Calculations'!$E$30/I669,1),"-")</f>
        <v>0.31014580161562261</v>
      </c>
      <c r="K669" s="12"/>
      <c r="L669" s="159">
        <v>5.4211369999999999</v>
      </c>
      <c r="M669" s="187" t="s">
        <v>408</v>
      </c>
      <c r="N669" s="187">
        <v>137.14542700000001</v>
      </c>
      <c r="O669" s="186">
        <f t="shared" si="34"/>
        <v>743.48414869049907</v>
      </c>
      <c r="P669" s="186">
        <f t="shared" si="35"/>
        <v>230.58848728412357</v>
      </c>
      <c r="Q669" s="215">
        <f>IF(P669="-",0,P669/(1+'General inputs'!$H$30)^'MP Calculations'!$C$40)</f>
        <v>512.20367161527736</v>
      </c>
    </row>
    <row r="670" spans="3:17" x14ac:dyDescent="0.25">
      <c r="C670" s="159"/>
      <c r="D670" s="165" t="s">
        <v>292</v>
      </c>
      <c r="E670" s="162">
        <v>33911</v>
      </c>
      <c r="F670" s="166" t="str">
        <f t="shared" si="33"/>
        <v>Date check - OK</v>
      </c>
      <c r="G670" s="68"/>
      <c r="H670" s="162" t="s">
        <v>279</v>
      </c>
      <c r="I670" s="173">
        <v>89592.114709699614</v>
      </c>
      <c r="J670" s="168">
        <f>IFERROR(MIN('MP Calculations'!$E$30/I670,1),"-")</f>
        <v>0.31014580161562261</v>
      </c>
      <c r="K670" s="12"/>
      <c r="L670" s="159">
        <v>94.181416999999996</v>
      </c>
      <c r="M670" s="187" t="s">
        <v>408</v>
      </c>
      <c r="N670" s="187">
        <v>356.22188899999998</v>
      </c>
      <c r="O670" s="186">
        <f t="shared" si="34"/>
        <v>33549.482272436711</v>
      </c>
      <c r="P670" s="186">
        <f t="shared" si="35"/>
        <v>10405.231073174004</v>
      </c>
      <c r="Q670" s="215">
        <f>IF(P670="-",0,P670/(1+'General inputs'!$H$30)^'MP Calculations'!$C$40)</f>
        <v>23113.025383258366</v>
      </c>
    </row>
    <row r="671" spans="3:17" x14ac:dyDescent="0.25">
      <c r="C671" s="159"/>
      <c r="D671" s="165" t="s">
        <v>293</v>
      </c>
      <c r="E671" s="162">
        <v>33960</v>
      </c>
      <c r="F671" s="166" t="str">
        <f t="shared" si="33"/>
        <v>Date check - OK</v>
      </c>
      <c r="G671" s="68"/>
      <c r="H671" s="162" t="s">
        <v>279</v>
      </c>
      <c r="I671" s="173">
        <v>89592.114709699614</v>
      </c>
      <c r="J671" s="168">
        <f>IFERROR(MIN('MP Calculations'!$E$30/I671,1),"-")</f>
        <v>0.31014580161562261</v>
      </c>
      <c r="K671" s="12"/>
      <c r="L671" s="159">
        <v>32.993934000000003</v>
      </c>
      <c r="M671" s="187" t="s">
        <v>408</v>
      </c>
      <c r="N671" s="187">
        <v>1009.889055</v>
      </c>
      <c r="O671" s="186">
        <f t="shared" si="34"/>
        <v>33320.212827992371</v>
      </c>
      <c r="P671" s="186">
        <f t="shared" si="35"/>
        <v>10334.124117540845</v>
      </c>
      <c r="Q671" s="215">
        <f>IF(P671="-",0,P671/(1+'General inputs'!$H$30)^'MP Calculations'!$C$40)</f>
        <v>22955.076284490864</v>
      </c>
    </row>
    <row r="672" spans="3:17" x14ac:dyDescent="0.25">
      <c r="C672" s="159"/>
      <c r="D672" s="165" t="s">
        <v>293</v>
      </c>
      <c r="E672" s="162">
        <v>33960</v>
      </c>
      <c r="F672" s="166" t="str">
        <f t="shared" si="33"/>
        <v>Date check - OK</v>
      </c>
      <c r="G672" s="68"/>
      <c r="H672" s="162" t="s">
        <v>279</v>
      </c>
      <c r="I672" s="173">
        <v>89592.114709699614</v>
      </c>
      <c r="J672" s="168">
        <f>IFERROR(MIN('MP Calculations'!$E$30/I672,1),"-")</f>
        <v>0.31014580161562261</v>
      </c>
      <c r="K672" s="12"/>
      <c r="L672" s="159">
        <v>11.995542</v>
      </c>
      <c r="M672" s="187" t="s">
        <v>408</v>
      </c>
      <c r="N672" s="187">
        <v>1009.889055</v>
      </c>
      <c r="O672" s="186">
        <f t="shared" si="34"/>
        <v>12114.166574592809</v>
      </c>
      <c r="P672" s="186">
        <f t="shared" si="35"/>
        <v>3757.157903182268</v>
      </c>
      <c r="Q672" s="215">
        <f>IF(P672="-",0,P672/(1+'General inputs'!$H$30)^'MP Calculations'!$C$40)</f>
        <v>8345.7335425297915</v>
      </c>
    </row>
    <row r="673" spans="3:17" x14ac:dyDescent="0.25">
      <c r="C673" s="159"/>
      <c r="D673" s="165" t="s">
        <v>283</v>
      </c>
      <c r="E673" s="162">
        <v>33960</v>
      </c>
      <c r="F673" s="166" t="str">
        <f t="shared" si="33"/>
        <v>Date check - OK</v>
      </c>
      <c r="G673" s="68"/>
      <c r="H673" s="162" t="s">
        <v>279</v>
      </c>
      <c r="I673" s="173">
        <v>89592.114709699614</v>
      </c>
      <c r="J673" s="168">
        <f>IFERROR(MIN('MP Calculations'!$E$30/I673,1),"-")</f>
        <v>0.31014580161562261</v>
      </c>
      <c r="K673" s="12"/>
      <c r="L673" s="159">
        <v>64.214322999999993</v>
      </c>
      <c r="M673" s="187" t="s">
        <v>408</v>
      </c>
      <c r="N673" s="187">
        <v>480.89954999999998</v>
      </c>
      <c r="O673" s="186">
        <f t="shared" si="34"/>
        <v>30880.639034254644</v>
      </c>
      <c r="P673" s="186">
        <f t="shared" si="35"/>
        <v>9577.5005476815932</v>
      </c>
      <c r="Q673" s="215">
        <f>IF(P673="-",0,P673/(1+'General inputs'!$H$30)^'MP Calculations'!$C$40)</f>
        <v>21274.396667407265</v>
      </c>
    </row>
    <row r="674" spans="3:17" x14ac:dyDescent="0.25">
      <c r="C674" s="159"/>
      <c r="D674" s="165" t="s">
        <v>311</v>
      </c>
      <c r="E674" s="162">
        <v>33960</v>
      </c>
      <c r="F674" s="166" t="str">
        <f t="shared" si="33"/>
        <v>Date check - OK</v>
      </c>
      <c r="G674" s="68"/>
      <c r="H674" s="162" t="s">
        <v>279</v>
      </c>
      <c r="I674" s="173">
        <v>89592.114709699614</v>
      </c>
      <c r="J674" s="168">
        <f>IFERROR(MIN('MP Calculations'!$E$30/I674,1),"-")</f>
        <v>0.31014580161562261</v>
      </c>
      <c r="K674" s="12"/>
      <c r="L674" s="159">
        <v>97.743798999999996</v>
      </c>
      <c r="M674" s="187" t="s">
        <v>408</v>
      </c>
      <c r="N674" s="187">
        <v>1715.208396</v>
      </c>
      <c r="O674" s="186">
        <f t="shared" si="34"/>
        <v>167650.98470173639</v>
      </c>
      <c r="P674" s="186">
        <f t="shared" si="35"/>
        <v>51996.249041968513</v>
      </c>
      <c r="Q674" s="215">
        <f>IF(P674="-",0,P674/(1+'General inputs'!$H$30)^'MP Calculations'!$C$40)</f>
        <v>115498.69632781239</v>
      </c>
    </row>
    <row r="675" spans="3:17" x14ac:dyDescent="0.25">
      <c r="C675" s="159"/>
      <c r="D675" s="165" t="s">
        <v>283</v>
      </c>
      <c r="E675" s="162">
        <v>33960</v>
      </c>
      <c r="F675" s="166" t="str">
        <f t="shared" si="33"/>
        <v>Date check - OK</v>
      </c>
      <c r="G675" s="68"/>
      <c r="H675" s="162" t="s">
        <v>279</v>
      </c>
      <c r="I675" s="173">
        <v>89592.114709699614</v>
      </c>
      <c r="J675" s="168">
        <f>IFERROR(MIN('MP Calculations'!$E$30/I675,1),"-")</f>
        <v>0.31014580161562261</v>
      </c>
      <c r="K675" s="12"/>
      <c r="L675" s="159">
        <v>100.16805600000001</v>
      </c>
      <c r="M675" s="187" t="s">
        <v>408</v>
      </c>
      <c r="N675" s="187">
        <v>480.89954999999998</v>
      </c>
      <c r="O675" s="186">
        <f t="shared" si="34"/>
        <v>48170.7730547748</v>
      </c>
      <c r="P675" s="186">
        <f t="shared" si="35"/>
        <v>14939.963023517364</v>
      </c>
      <c r="Q675" s="215">
        <f>IF(P675="-",0,P675/(1+'General inputs'!$H$30)^'MP Calculations'!$C$40)</f>
        <v>33185.975607763779</v>
      </c>
    </row>
    <row r="676" spans="3:17" x14ac:dyDescent="0.25">
      <c r="C676" s="159"/>
      <c r="D676" s="165" t="s">
        <v>293</v>
      </c>
      <c r="E676" s="162">
        <v>33960</v>
      </c>
      <c r="F676" s="166" t="str">
        <f t="shared" si="33"/>
        <v>Date check - OK</v>
      </c>
      <c r="G676" s="68"/>
      <c r="H676" s="162" t="s">
        <v>279</v>
      </c>
      <c r="I676" s="173">
        <v>89592.114709699614</v>
      </c>
      <c r="J676" s="168">
        <f>IFERROR(MIN('MP Calculations'!$E$30/I676,1),"-")</f>
        <v>0.31014580161562261</v>
      </c>
      <c r="K676" s="12"/>
      <c r="L676" s="159">
        <v>36.211849000000001</v>
      </c>
      <c r="M676" s="187" t="s">
        <v>408</v>
      </c>
      <c r="N676" s="187">
        <v>1009.889055</v>
      </c>
      <c r="O676" s="186">
        <f t="shared" si="34"/>
        <v>36569.949966412692</v>
      </c>
      <c r="P676" s="186">
        <f t="shared" si="35"/>
        <v>11342.016447376276</v>
      </c>
      <c r="Q676" s="215">
        <f>IF(P676="-",0,P676/(1+'General inputs'!$H$30)^'MP Calculations'!$C$40)</f>
        <v>25193.896435552797</v>
      </c>
    </row>
    <row r="677" spans="3:17" x14ac:dyDescent="0.25">
      <c r="C677" s="159"/>
      <c r="D677" s="165" t="s">
        <v>288</v>
      </c>
      <c r="E677" s="162">
        <v>33970</v>
      </c>
      <c r="F677" s="166" t="str">
        <f t="shared" si="33"/>
        <v>Date check - OK</v>
      </c>
      <c r="G677" s="68"/>
      <c r="H677" s="162" t="s">
        <v>279</v>
      </c>
      <c r="I677" s="173">
        <v>89592.114709699614</v>
      </c>
      <c r="J677" s="168">
        <f>IFERROR(MIN('MP Calculations'!$E$30/I677,1),"-")</f>
        <v>0.31014580161562261</v>
      </c>
      <c r="K677" s="12"/>
      <c r="L677" s="159">
        <v>188.721406</v>
      </c>
      <c r="M677" s="187" t="s">
        <v>408</v>
      </c>
      <c r="N677" s="187">
        <v>480.89954999999998</v>
      </c>
      <c r="O677" s="186">
        <f t="shared" si="34"/>
        <v>90756.039220767299</v>
      </c>
      <c r="P677" s="186">
        <f t="shared" si="35"/>
        <v>28147.60453558376</v>
      </c>
      <c r="Q677" s="215">
        <f>IF(P677="-",0,P677/(1+'General inputs'!$H$30)^'MP Calculations'!$C$40)</f>
        <v>62523.964488028847</v>
      </c>
    </row>
    <row r="678" spans="3:17" x14ac:dyDescent="0.25">
      <c r="C678" s="159"/>
      <c r="D678" s="165" t="s">
        <v>281</v>
      </c>
      <c r="E678" s="162">
        <v>34044</v>
      </c>
      <c r="F678" s="166" t="str">
        <f t="shared" si="33"/>
        <v>Date check - OK</v>
      </c>
      <c r="G678" s="68"/>
      <c r="H678" s="162" t="s">
        <v>279</v>
      </c>
      <c r="I678" s="173">
        <v>89592.114709699614</v>
      </c>
      <c r="J678" s="168">
        <f>IFERROR(MIN('MP Calculations'!$E$30/I678,1),"-")</f>
        <v>0.31014580161562261</v>
      </c>
      <c r="K678" s="12"/>
      <c r="L678" s="159">
        <v>27.706267</v>
      </c>
      <c r="M678" s="187" t="s">
        <v>408</v>
      </c>
      <c r="N678" s="187">
        <v>657.22938499999998</v>
      </c>
      <c r="O678" s="186">
        <f t="shared" si="34"/>
        <v>18209.372821055797</v>
      </c>
      <c r="P678" s="186">
        <f t="shared" si="35"/>
        <v>5647.5605305040808</v>
      </c>
      <c r="Q678" s="215">
        <f>IF(P678="-",0,P678/(1+'General inputs'!$H$30)^'MP Calculations'!$C$40)</f>
        <v>12544.864114700669</v>
      </c>
    </row>
    <row r="679" spans="3:17" x14ac:dyDescent="0.25">
      <c r="C679" s="159"/>
      <c r="D679" s="165" t="s">
        <v>354</v>
      </c>
      <c r="E679" s="162">
        <v>34150</v>
      </c>
      <c r="F679" s="166" t="str">
        <f t="shared" si="33"/>
        <v>Date check - OK</v>
      </c>
      <c r="G679" s="68"/>
      <c r="H679" s="162" t="s">
        <v>279</v>
      </c>
      <c r="I679" s="173">
        <v>89592.114709699614</v>
      </c>
      <c r="J679" s="168">
        <f>IFERROR(MIN('MP Calculations'!$E$30/I679,1),"-")</f>
        <v>0.31014580161562261</v>
      </c>
      <c r="K679" s="12"/>
      <c r="L679" s="159">
        <v>1</v>
      </c>
      <c r="M679" s="187" t="s">
        <v>409</v>
      </c>
      <c r="N679" s="187">
        <v>82028.852478999994</v>
      </c>
      <c r="O679" s="186">
        <f t="shared" si="34"/>
        <v>82028.852478999994</v>
      </c>
      <c r="P679" s="186">
        <f t="shared" si="35"/>
        <v>25440.904207709104</v>
      </c>
      <c r="Q679" s="215">
        <f>IF(P679="-",0,P679/(1+'General inputs'!$H$30)^'MP Calculations'!$C$40)</f>
        <v>56511.600808347743</v>
      </c>
    </row>
    <row r="680" spans="3:17" x14ac:dyDescent="0.25">
      <c r="C680" s="159"/>
      <c r="D680" s="165" t="s">
        <v>355</v>
      </c>
      <c r="E680" s="162">
        <v>34150</v>
      </c>
      <c r="F680" s="166" t="str">
        <f t="shared" si="33"/>
        <v>Date check - OK</v>
      </c>
      <c r="G680" s="68"/>
      <c r="H680" s="162" t="s">
        <v>279</v>
      </c>
      <c r="I680" s="173">
        <v>89592.114709699614</v>
      </c>
      <c r="J680" s="168">
        <f>IFERROR(MIN('MP Calculations'!$E$30/I680,1),"-")</f>
        <v>0.31014580161562261</v>
      </c>
      <c r="K680" s="12"/>
      <c r="L680" s="159">
        <v>1</v>
      </c>
      <c r="M680" s="187" t="s">
        <v>409</v>
      </c>
      <c r="N680" s="187">
        <v>4406.75</v>
      </c>
      <c r="O680" s="186">
        <f t="shared" si="34"/>
        <v>4406.75</v>
      </c>
      <c r="P680" s="186">
        <f t="shared" si="35"/>
        <v>1366.7350112696449</v>
      </c>
      <c r="Q680" s="215">
        <f>IF(P680="-",0,P680/(1+'General inputs'!$H$30)^'MP Calculations'!$C$40)</f>
        <v>3035.9134540610648</v>
      </c>
    </row>
    <row r="681" spans="3:17" x14ac:dyDescent="0.25">
      <c r="C681" s="159"/>
      <c r="D681" s="165" t="s">
        <v>356</v>
      </c>
      <c r="E681" s="162">
        <v>34150</v>
      </c>
      <c r="F681" s="166" t="str">
        <f t="shared" si="33"/>
        <v>Date check - OK</v>
      </c>
      <c r="G681" s="68"/>
      <c r="H681" s="162" t="s">
        <v>279</v>
      </c>
      <c r="I681" s="173">
        <v>89592.114709699614</v>
      </c>
      <c r="J681" s="168">
        <f>IFERROR(MIN('MP Calculations'!$E$30/I681,1),"-")</f>
        <v>0.31014580161562261</v>
      </c>
      <c r="K681" s="12"/>
      <c r="L681" s="159">
        <v>1</v>
      </c>
      <c r="M681" s="187" t="s">
        <v>409</v>
      </c>
      <c r="N681" s="187">
        <v>765.67</v>
      </c>
      <c r="O681" s="186">
        <f t="shared" si="34"/>
        <v>765.67</v>
      </c>
      <c r="P681" s="186">
        <f t="shared" si="35"/>
        <v>237.46933592303375</v>
      </c>
      <c r="Q681" s="215">
        <f>IF(P681="-",0,P681/(1+'General inputs'!$H$30)^'MP Calculations'!$C$40)</f>
        <v>527.48802504588082</v>
      </c>
    </row>
    <row r="682" spans="3:17" x14ac:dyDescent="0.25">
      <c r="C682" s="159"/>
      <c r="D682" s="165" t="s">
        <v>357</v>
      </c>
      <c r="E682" s="162">
        <v>34150</v>
      </c>
      <c r="F682" s="166" t="str">
        <f t="shared" si="33"/>
        <v>Date check - OK</v>
      </c>
      <c r="G682" s="68"/>
      <c r="H682" s="162" t="s">
        <v>279</v>
      </c>
      <c r="I682" s="173">
        <v>89592.114709699614</v>
      </c>
      <c r="J682" s="168">
        <f>IFERROR(MIN('MP Calculations'!$E$30/I682,1),"-")</f>
        <v>0.31014580161562261</v>
      </c>
      <c r="K682" s="12"/>
      <c r="L682" s="159">
        <v>1</v>
      </c>
      <c r="M682" s="187" t="s">
        <v>409</v>
      </c>
      <c r="N682" s="187">
        <v>312250.45973200002</v>
      </c>
      <c r="O682" s="186">
        <f t="shared" si="34"/>
        <v>312250.45973200002</v>
      </c>
      <c r="P682" s="186">
        <f t="shared" si="35"/>
        <v>96843.169138427838</v>
      </c>
      <c r="Q682" s="215">
        <f>IF(P682="-",0,P682/(1+'General inputs'!$H$30)^'MP Calculations'!$C$40)</f>
        <v>215116.66687176074</v>
      </c>
    </row>
    <row r="683" spans="3:17" x14ac:dyDescent="0.25">
      <c r="C683" s="159"/>
      <c r="D683" s="165" t="s">
        <v>358</v>
      </c>
      <c r="E683" s="162">
        <v>34150</v>
      </c>
      <c r="F683" s="166" t="str">
        <f t="shared" si="33"/>
        <v>Date check - OK</v>
      </c>
      <c r="G683" s="68"/>
      <c r="H683" s="162" t="s">
        <v>279</v>
      </c>
      <c r="I683" s="173">
        <v>89592.114709699614</v>
      </c>
      <c r="J683" s="168">
        <f>IFERROR(MIN('MP Calculations'!$E$30/I683,1),"-")</f>
        <v>0.31014580161562261</v>
      </c>
      <c r="K683" s="12"/>
      <c r="L683" s="159">
        <v>1</v>
      </c>
      <c r="M683" s="187" t="s">
        <v>409</v>
      </c>
      <c r="N683" s="187">
        <v>4288555.5844099997</v>
      </c>
      <c r="O683" s="186">
        <f t="shared" si="34"/>
        <v>4288555.5844099997</v>
      </c>
      <c r="P683" s="186">
        <f t="shared" si="35"/>
        <v>1330077.5094999943</v>
      </c>
      <c r="Q683" s="215">
        <f>IF(P683="-",0,P683/(1+'General inputs'!$H$30)^'MP Calculations'!$C$40)</f>
        <v>2954486.5484084715</v>
      </c>
    </row>
    <row r="684" spans="3:17" x14ac:dyDescent="0.25">
      <c r="C684" s="159"/>
      <c r="D684" s="165" t="s">
        <v>359</v>
      </c>
      <c r="E684" s="162">
        <v>34150</v>
      </c>
      <c r="F684" s="166" t="str">
        <f t="shared" si="33"/>
        <v>Date check - OK</v>
      </c>
      <c r="G684" s="68"/>
      <c r="H684" s="162" t="s">
        <v>279</v>
      </c>
      <c r="I684" s="173">
        <v>89592.114709699614</v>
      </c>
      <c r="J684" s="168">
        <f>IFERROR(MIN('MP Calculations'!$E$30/I684,1),"-")</f>
        <v>0.31014580161562261</v>
      </c>
      <c r="K684" s="12"/>
      <c r="L684" s="159">
        <v>1</v>
      </c>
      <c r="M684" s="187" t="s">
        <v>409</v>
      </c>
      <c r="N684" s="187">
        <v>291433.76771799999</v>
      </c>
      <c r="O684" s="186">
        <f t="shared" si="34"/>
        <v>291433.76771799999</v>
      </c>
      <c r="P684" s="186">
        <f t="shared" si="35"/>
        <v>90386.959506760264</v>
      </c>
      <c r="Q684" s="215">
        <f>IF(P684="-",0,P684/(1+'General inputs'!$H$30)^'MP Calculations'!$C$40)</f>
        <v>200775.55939928142</v>
      </c>
    </row>
    <row r="685" spans="3:17" x14ac:dyDescent="0.25">
      <c r="C685" s="159"/>
      <c r="D685" s="165" t="s">
        <v>360</v>
      </c>
      <c r="E685" s="162">
        <v>34150</v>
      </c>
      <c r="F685" s="166" t="str">
        <f t="shared" si="33"/>
        <v>Date check - OK</v>
      </c>
      <c r="G685" s="68"/>
      <c r="H685" s="162" t="s">
        <v>279</v>
      </c>
      <c r="I685" s="173">
        <v>89592.114709699614</v>
      </c>
      <c r="J685" s="168">
        <f>IFERROR(MIN('MP Calculations'!$E$30/I685,1),"-")</f>
        <v>0.31014580161562261</v>
      </c>
      <c r="K685" s="12"/>
      <c r="L685" s="159">
        <v>1</v>
      </c>
      <c r="M685" s="187" t="s">
        <v>409</v>
      </c>
      <c r="N685" s="187">
        <v>293516.461083</v>
      </c>
      <c r="O685" s="186">
        <f t="shared" si="34"/>
        <v>293516.461083</v>
      </c>
      <c r="P685" s="186">
        <f t="shared" si="35"/>
        <v>91032.898109967733</v>
      </c>
      <c r="Q685" s="215">
        <f>IF(P685="-",0,P685/(1+'General inputs'!$H$30)^'MP Calculations'!$C$40)</f>
        <v>202210.3757168595</v>
      </c>
    </row>
    <row r="686" spans="3:17" x14ac:dyDescent="0.25">
      <c r="C686" s="159"/>
      <c r="D686" s="165" t="s">
        <v>361</v>
      </c>
      <c r="E686" s="162">
        <v>34150</v>
      </c>
      <c r="F686" s="166" t="str">
        <f t="shared" si="33"/>
        <v>Date check - OK</v>
      </c>
      <c r="G686" s="68"/>
      <c r="H686" s="162" t="s">
        <v>279</v>
      </c>
      <c r="I686" s="173">
        <v>89592.114709699614</v>
      </c>
      <c r="J686" s="168">
        <f>IFERROR(MIN('MP Calculations'!$E$30/I686,1),"-")</f>
        <v>0.31014580161562261</v>
      </c>
      <c r="K686" s="12"/>
      <c r="L686" s="159">
        <v>1</v>
      </c>
      <c r="M686" s="187" t="s">
        <v>409</v>
      </c>
      <c r="N686" s="187">
        <v>2081673.3521670001</v>
      </c>
      <c r="O686" s="186">
        <f t="shared" si="34"/>
        <v>2081673.3521670001</v>
      </c>
      <c r="P686" s="186">
        <f t="shared" si="35"/>
        <v>645622.25050971447</v>
      </c>
      <c r="Q686" s="215">
        <f>IF(P686="-",0,P686/(1+'General inputs'!$H$30)^'MP Calculations'!$C$40)</f>
        <v>1434113.6068086894</v>
      </c>
    </row>
    <row r="687" spans="3:17" x14ac:dyDescent="0.25">
      <c r="C687" s="159"/>
      <c r="D687" s="165" t="s">
        <v>362</v>
      </c>
      <c r="E687" s="162">
        <v>34150</v>
      </c>
      <c r="F687" s="166" t="str">
        <f t="shared" si="33"/>
        <v>Date check - OK</v>
      </c>
      <c r="G687" s="68"/>
      <c r="H687" s="162" t="s">
        <v>279</v>
      </c>
      <c r="I687" s="173">
        <v>89592.114709699614</v>
      </c>
      <c r="J687" s="168">
        <f>IFERROR(MIN('MP Calculations'!$E$30/I687,1),"-")</f>
        <v>0.31014580161562261</v>
      </c>
      <c r="K687" s="12"/>
      <c r="L687" s="159">
        <v>1</v>
      </c>
      <c r="M687" s="187" t="s">
        <v>409</v>
      </c>
      <c r="N687" s="187">
        <v>312250.45973200002</v>
      </c>
      <c r="O687" s="186">
        <f t="shared" si="34"/>
        <v>312250.45973200002</v>
      </c>
      <c r="P687" s="186">
        <f t="shared" si="35"/>
        <v>96843.169138427838</v>
      </c>
      <c r="Q687" s="215">
        <f>IF(P687="-",0,P687/(1+'General inputs'!$H$30)^'MP Calculations'!$C$40)</f>
        <v>215116.66687176074</v>
      </c>
    </row>
    <row r="688" spans="3:17" x14ac:dyDescent="0.25">
      <c r="C688" s="159"/>
      <c r="D688" s="165" t="s">
        <v>363</v>
      </c>
      <c r="E688" s="162">
        <v>34150</v>
      </c>
      <c r="F688" s="166" t="str">
        <f t="shared" si="33"/>
        <v>Date check - OK</v>
      </c>
      <c r="G688" s="68"/>
      <c r="H688" s="162" t="s">
        <v>279</v>
      </c>
      <c r="I688" s="173">
        <v>89592.114709699614</v>
      </c>
      <c r="J688" s="168">
        <f>IFERROR(MIN('MP Calculations'!$E$30/I688,1),"-")</f>
        <v>0.31014580161562261</v>
      </c>
      <c r="K688" s="12"/>
      <c r="L688" s="159">
        <v>1</v>
      </c>
      <c r="M688" s="187" t="s">
        <v>409</v>
      </c>
      <c r="N688" s="187">
        <v>416333.951611</v>
      </c>
      <c r="O688" s="186">
        <f t="shared" si="34"/>
        <v>416333.951611</v>
      </c>
      <c r="P688" s="186">
        <f t="shared" si="35"/>
        <v>129124.22716219343</v>
      </c>
      <c r="Q688" s="215">
        <f>IF(P688="-",0,P688/(1+'General inputs'!$H$30)^'MP Calculations'!$C$40)</f>
        <v>286822.2261481235</v>
      </c>
    </row>
    <row r="689" spans="3:17" x14ac:dyDescent="0.25">
      <c r="C689" s="159"/>
      <c r="D689" s="165" t="s">
        <v>364</v>
      </c>
      <c r="E689" s="162">
        <v>34150</v>
      </c>
      <c r="F689" s="166" t="str">
        <f t="shared" si="33"/>
        <v>Date check - OK</v>
      </c>
      <c r="G689" s="68"/>
      <c r="H689" s="162" t="s">
        <v>279</v>
      </c>
      <c r="I689" s="173">
        <v>89592.114709699614</v>
      </c>
      <c r="J689" s="168">
        <f>IFERROR(MIN('MP Calculations'!$E$30/I689,1),"-")</f>
        <v>0.31014580161562261</v>
      </c>
      <c r="K689" s="12"/>
      <c r="L689" s="159">
        <v>1</v>
      </c>
      <c r="M689" s="187" t="s">
        <v>409</v>
      </c>
      <c r="N689" s="187">
        <v>826424.991653</v>
      </c>
      <c r="O689" s="186">
        <f t="shared" si="34"/>
        <v>826424.991653</v>
      </c>
      <c r="P689" s="186">
        <f t="shared" si="35"/>
        <v>256312.2415114039</v>
      </c>
      <c r="Q689" s="215">
        <f>IF(P689="-",0,P689/(1+'General inputs'!$H$30)^'MP Calculations'!$C$40)</f>
        <v>569343.56406232389</v>
      </c>
    </row>
    <row r="690" spans="3:17" x14ac:dyDescent="0.25">
      <c r="C690" s="159"/>
      <c r="D690" s="165" t="s">
        <v>365</v>
      </c>
      <c r="E690" s="162">
        <v>34150</v>
      </c>
      <c r="F690" s="166" t="str">
        <f t="shared" si="33"/>
        <v>Date check - OK</v>
      </c>
      <c r="G690" s="68"/>
      <c r="H690" s="162" t="s">
        <v>279</v>
      </c>
      <c r="I690" s="173">
        <v>89592.114709699614</v>
      </c>
      <c r="J690" s="168">
        <f>IFERROR(MIN('MP Calculations'!$E$30/I690,1),"-")</f>
        <v>0.31014580161562261</v>
      </c>
      <c r="K690" s="12"/>
      <c r="L690" s="159">
        <v>1</v>
      </c>
      <c r="M690" s="187" t="s">
        <v>409</v>
      </c>
      <c r="N690" s="187">
        <v>4478129.8213590002</v>
      </c>
      <c r="O690" s="186">
        <f t="shared" si="34"/>
        <v>4478129.8213590002</v>
      </c>
      <c r="P690" s="186">
        <f t="shared" si="35"/>
        <v>1388873.1631842121</v>
      </c>
      <c r="Q690" s="215">
        <f>IF(P690="-",0,P690/(1+'General inputs'!$H$30)^'MP Calculations'!$C$40)</f>
        <v>3085088.6875125347</v>
      </c>
    </row>
    <row r="691" spans="3:17" x14ac:dyDescent="0.25">
      <c r="C691" s="159"/>
      <c r="D691" s="165" t="s">
        <v>366</v>
      </c>
      <c r="E691" s="162">
        <v>34150</v>
      </c>
      <c r="F691" s="166" t="str">
        <f t="shared" si="33"/>
        <v>Date check - OK</v>
      </c>
      <c r="G691" s="68"/>
      <c r="H691" s="162" t="s">
        <v>279</v>
      </c>
      <c r="I691" s="173">
        <v>89592.114709699614</v>
      </c>
      <c r="J691" s="168">
        <f>IFERROR(MIN('MP Calculations'!$E$30/I691,1),"-")</f>
        <v>0.31014580161562261</v>
      </c>
      <c r="K691" s="12"/>
      <c r="L691" s="159">
        <v>1</v>
      </c>
      <c r="M691" s="187" t="s">
        <v>409</v>
      </c>
      <c r="N691" s="187">
        <v>832669.68437499995</v>
      </c>
      <c r="O691" s="186">
        <f t="shared" si="34"/>
        <v>832669.68437499995</v>
      </c>
      <c r="P691" s="186">
        <f t="shared" si="35"/>
        <v>258249.00674151184</v>
      </c>
      <c r="Q691" s="215">
        <f>IF(P691="-",0,P691/(1+'General inputs'!$H$30)^'MP Calculations'!$C$40)</f>
        <v>573645.67937433324</v>
      </c>
    </row>
    <row r="692" spans="3:17" x14ac:dyDescent="0.25">
      <c r="C692" s="159"/>
      <c r="D692" s="165" t="s">
        <v>367</v>
      </c>
      <c r="E692" s="162">
        <v>34150</v>
      </c>
      <c r="F692" s="166" t="str">
        <f t="shared" si="33"/>
        <v>Date check - OK</v>
      </c>
      <c r="G692" s="68"/>
      <c r="H692" s="162" t="s">
        <v>279</v>
      </c>
      <c r="I692" s="173">
        <v>89592.114709699614</v>
      </c>
      <c r="J692" s="168">
        <f>IFERROR(MIN('MP Calculations'!$E$30/I692,1),"-")</f>
        <v>0.31014580161562261</v>
      </c>
      <c r="K692" s="12"/>
      <c r="L692" s="159">
        <v>1</v>
      </c>
      <c r="M692" s="187" t="s">
        <v>409</v>
      </c>
      <c r="N692" s="187">
        <v>868058.42339100002</v>
      </c>
      <c r="O692" s="186">
        <f t="shared" si="34"/>
        <v>868058.42339100002</v>
      </c>
      <c r="P692" s="186">
        <f t="shared" si="35"/>
        <v>269224.6755717952</v>
      </c>
      <c r="Q692" s="215">
        <f>IF(P692="-",0,P692/(1+'General inputs'!$H$30)^'MP Calculations'!$C$40)</f>
        <v>598025.81187582074</v>
      </c>
    </row>
    <row r="693" spans="3:17" x14ac:dyDescent="0.25">
      <c r="C693" s="159"/>
      <c r="D693" s="165" t="s">
        <v>368</v>
      </c>
      <c r="E693" s="162">
        <v>34150</v>
      </c>
      <c r="F693" s="166" t="str">
        <f t="shared" si="33"/>
        <v>Date check - OK</v>
      </c>
      <c r="G693" s="68"/>
      <c r="H693" s="162" t="s">
        <v>279</v>
      </c>
      <c r="I693" s="173">
        <v>89592.114709699614</v>
      </c>
      <c r="J693" s="168">
        <f>IFERROR(MIN('MP Calculations'!$E$30/I693,1),"-")</f>
        <v>0.31014580161562261</v>
      </c>
      <c r="K693" s="12"/>
      <c r="L693" s="159">
        <v>1</v>
      </c>
      <c r="M693" s="187" t="s">
        <v>409</v>
      </c>
      <c r="N693" s="187">
        <v>131957.782396</v>
      </c>
      <c r="O693" s="186">
        <f t="shared" si="34"/>
        <v>131957.782396</v>
      </c>
      <c r="P693" s="186">
        <f t="shared" si="35"/>
        <v>40926.152200627315</v>
      </c>
      <c r="Q693" s="215">
        <f>IF(P693="-",0,P693/(1+'General inputs'!$H$30)^'MP Calculations'!$C$40)</f>
        <v>90908.811923544286</v>
      </c>
    </row>
    <row r="694" spans="3:17" x14ac:dyDescent="0.25">
      <c r="C694" s="159"/>
      <c r="D694" s="165" t="s">
        <v>369</v>
      </c>
      <c r="E694" s="162">
        <v>34150</v>
      </c>
      <c r="F694" s="166" t="str">
        <f t="shared" si="33"/>
        <v>Date check - OK</v>
      </c>
      <c r="G694" s="68"/>
      <c r="H694" s="162" t="s">
        <v>279</v>
      </c>
      <c r="I694" s="173">
        <v>89592.114709699614</v>
      </c>
      <c r="J694" s="168">
        <f>IFERROR(MIN('MP Calculations'!$E$30/I694,1),"-")</f>
        <v>0.31014580161562261</v>
      </c>
      <c r="K694" s="12"/>
      <c r="L694" s="159">
        <v>1</v>
      </c>
      <c r="M694" s="187" t="s">
        <v>409</v>
      </c>
      <c r="N694" s="187">
        <v>657238.95205199998</v>
      </c>
      <c r="O694" s="186">
        <f t="shared" si="34"/>
        <v>657238.95205199998</v>
      </c>
      <c r="P694" s="186">
        <f t="shared" si="35"/>
        <v>203839.90163717928</v>
      </c>
      <c r="Q694" s="215">
        <f>IF(P694="-",0,P694/(1+'General inputs'!$H$30)^'MP Calculations'!$C$40)</f>
        <v>452787.33240316832</v>
      </c>
    </row>
    <row r="695" spans="3:17" x14ac:dyDescent="0.25">
      <c r="C695" s="159"/>
      <c r="D695" s="165" t="s">
        <v>370</v>
      </c>
      <c r="E695" s="162">
        <v>34150</v>
      </c>
      <c r="F695" s="166" t="str">
        <f t="shared" si="33"/>
        <v>Date check - OK</v>
      </c>
      <c r="G695" s="68"/>
      <c r="H695" s="162" t="s">
        <v>279</v>
      </c>
      <c r="I695" s="173">
        <v>89592.114709699614</v>
      </c>
      <c r="J695" s="168">
        <f>IFERROR(MIN('MP Calculations'!$E$30/I695,1),"-")</f>
        <v>0.31014580161562261</v>
      </c>
      <c r="K695" s="12"/>
      <c r="L695" s="159">
        <v>1</v>
      </c>
      <c r="M695" s="187" t="s">
        <v>409</v>
      </c>
      <c r="N695" s="187">
        <v>291433.76771799999</v>
      </c>
      <c r="O695" s="186">
        <f t="shared" si="34"/>
        <v>291433.76771799999</v>
      </c>
      <c r="P695" s="186">
        <f t="shared" si="35"/>
        <v>90386.959506760264</v>
      </c>
      <c r="Q695" s="215">
        <f>IF(P695="-",0,P695/(1+'General inputs'!$H$30)^'MP Calculations'!$C$40)</f>
        <v>200775.55939928142</v>
      </c>
    </row>
    <row r="696" spans="3:17" x14ac:dyDescent="0.25">
      <c r="C696" s="159"/>
      <c r="D696" s="165" t="s">
        <v>371</v>
      </c>
      <c r="E696" s="162">
        <v>34150</v>
      </c>
      <c r="F696" s="166" t="str">
        <f t="shared" si="33"/>
        <v>Date check - OK</v>
      </c>
      <c r="G696" s="68"/>
      <c r="H696" s="162" t="s">
        <v>279</v>
      </c>
      <c r="I696" s="173">
        <v>89592.114709699614</v>
      </c>
      <c r="J696" s="168">
        <f>IFERROR(MIN('MP Calculations'!$E$30/I696,1),"-")</f>
        <v>0.31014580161562261</v>
      </c>
      <c r="K696" s="12"/>
      <c r="L696" s="159">
        <v>1</v>
      </c>
      <c r="M696" s="187" t="s">
        <v>409</v>
      </c>
      <c r="N696" s="187">
        <v>648956.746835</v>
      </c>
      <c r="O696" s="186">
        <f t="shared" si="34"/>
        <v>648956.746835</v>
      </c>
      <c r="P696" s="186">
        <f t="shared" si="35"/>
        <v>201271.21046100772</v>
      </c>
      <c r="Q696" s="215">
        <f>IF(P696="-",0,P696/(1+'General inputs'!$H$30)^'MP Calculations'!$C$40)</f>
        <v>447081.52693483332</v>
      </c>
    </row>
    <row r="697" spans="3:17" x14ac:dyDescent="0.25">
      <c r="C697" s="159"/>
      <c r="D697" s="165" t="s">
        <v>372</v>
      </c>
      <c r="E697" s="162">
        <v>34150</v>
      </c>
      <c r="F697" s="166" t="str">
        <f t="shared" si="33"/>
        <v>Date check - OK</v>
      </c>
      <c r="G697" s="68"/>
      <c r="H697" s="162" t="s">
        <v>279</v>
      </c>
      <c r="I697" s="173">
        <v>89592.114709699614</v>
      </c>
      <c r="J697" s="168">
        <f>IFERROR(MIN('MP Calculations'!$E$30/I697,1),"-")</f>
        <v>0.31014580161562261</v>
      </c>
      <c r="K697" s="12"/>
      <c r="L697" s="159">
        <v>1</v>
      </c>
      <c r="M697" s="187" t="s">
        <v>409</v>
      </c>
      <c r="N697" s="187">
        <v>2499332.6887980001</v>
      </c>
      <c r="O697" s="186">
        <f t="shared" si="34"/>
        <v>2499332.6887980001</v>
      </c>
      <c r="P697" s="186">
        <f t="shared" si="35"/>
        <v>775157.54027138522</v>
      </c>
      <c r="Q697" s="215">
        <f>IF(P697="-",0,P697/(1+'General inputs'!$H$30)^'MP Calculations'!$C$40)</f>
        <v>1721848.9217896331</v>
      </c>
    </row>
    <row r="698" spans="3:17" x14ac:dyDescent="0.25">
      <c r="C698" s="159"/>
      <c r="D698" s="165" t="s">
        <v>373</v>
      </c>
      <c r="E698" s="162">
        <v>34150</v>
      </c>
      <c r="F698" s="166" t="str">
        <f t="shared" si="33"/>
        <v>Date check - OK</v>
      </c>
      <c r="G698" s="68"/>
      <c r="H698" s="162" t="s">
        <v>279</v>
      </c>
      <c r="I698" s="173">
        <v>89592.114709699614</v>
      </c>
      <c r="J698" s="168">
        <f>IFERROR(MIN('MP Calculations'!$E$30/I698,1),"-")</f>
        <v>0.31014580161562261</v>
      </c>
      <c r="K698" s="12"/>
      <c r="L698" s="159">
        <v>1</v>
      </c>
      <c r="M698" s="187" t="s">
        <v>409</v>
      </c>
      <c r="N698" s="187">
        <v>166533.56792199999</v>
      </c>
      <c r="O698" s="186">
        <f t="shared" si="34"/>
        <v>166533.56792199999</v>
      </c>
      <c r="P698" s="186">
        <f t="shared" si="35"/>
        <v>51649.68691907842</v>
      </c>
      <c r="Q698" s="215">
        <f>IF(P698="-",0,P698/(1+'General inputs'!$H$30)^'MP Calculations'!$C$40)</f>
        <v>114728.88169448958</v>
      </c>
    </row>
    <row r="699" spans="3:17" x14ac:dyDescent="0.25">
      <c r="C699" s="159"/>
      <c r="D699" s="165" t="s">
        <v>374</v>
      </c>
      <c r="E699" s="162">
        <v>34150</v>
      </c>
      <c r="F699" s="166" t="str">
        <f t="shared" si="33"/>
        <v>Date check - OK</v>
      </c>
      <c r="G699" s="68"/>
      <c r="H699" s="162" t="s">
        <v>279</v>
      </c>
      <c r="I699" s="173">
        <v>89592.114709699614</v>
      </c>
      <c r="J699" s="168">
        <f>IFERROR(MIN('MP Calculations'!$E$30/I699,1),"-")</f>
        <v>0.31014580161562261</v>
      </c>
      <c r="K699" s="12"/>
      <c r="L699" s="159">
        <v>1</v>
      </c>
      <c r="M699" s="187" t="s">
        <v>409</v>
      </c>
      <c r="N699" s="187">
        <v>104083.47597499999</v>
      </c>
      <c r="O699" s="186">
        <f t="shared" si="34"/>
        <v>104083.47597499999</v>
      </c>
      <c r="P699" s="186">
        <f t="shared" si="35"/>
        <v>32281.05309120677</v>
      </c>
      <c r="Q699" s="215">
        <f>IF(P699="-",0,P699/(1+'General inputs'!$H$30)^'MP Calculations'!$C$40)</f>
        <v>71705.548319724083</v>
      </c>
    </row>
    <row r="700" spans="3:17" x14ac:dyDescent="0.25">
      <c r="C700" s="159"/>
      <c r="D700" s="165" t="s">
        <v>375</v>
      </c>
      <c r="E700" s="162">
        <v>34150</v>
      </c>
      <c r="F700" s="166" t="str">
        <f t="shared" si="33"/>
        <v>Date check - OK</v>
      </c>
      <c r="G700" s="68"/>
      <c r="H700" s="162" t="s">
        <v>279</v>
      </c>
      <c r="I700" s="173">
        <v>89592.114709699614</v>
      </c>
      <c r="J700" s="168">
        <f>IFERROR(MIN('MP Calculations'!$E$30/I700,1),"-")</f>
        <v>0.31014580161562261</v>
      </c>
      <c r="K700" s="12"/>
      <c r="L700" s="159">
        <v>1</v>
      </c>
      <c r="M700" s="187" t="s">
        <v>409</v>
      </c>
      <c r="N700" s="187">
        <v>208166.96785399999</v>
      </c>
      <c r="O700" s="186">
        <f t="shared" si="34"/>
        <v>208166.96785399999</v>
      </c>
      <c r="P700" s="186">
        <f t="shared" si="35"/>
        <v>64562.111114972366</v>
      </c>
      <c r="Q700" s="215">
        <f>IF(P700="-",0,P700/(1+'General inputs'!$H$30)^'MP Calculations'!$C$40)</f>
        <v>143411.10759608686</v>
      </c>
    </row>
    <row r="701" spans="3:17" x14ac:dyDescent="0.25">
      <c r="C701" s="159"/>
      <c r="D701" s="165" t="s">
        <v>376</v>
      </c>
      <c r="E701" s="162">
        <v>34150</v>
      </c>
      <c r="F701" s="166" t="str">
        <f t="shared" si="33"/>
        <v>Date check - OK</v>
      </c>
      <c r="G701" s="68"/>
      <c r="H701" s="162" t="s">
        <v>279</v>
      </c>
      <c r="I701" s="173">
        <v>89592.114709699614</v>
      </c>
      <c r="J701" s="168">
        <f>IFERROR(MIN('MP Calculations'!$E$30/I701,1),"-")</f>
        <v>0.31014580161562261</v>
      </c>
      <c r="K701" s="12"/>
      <c r="L701" s="159">
        <v>1</v>
      </c>
      <c r="M701" s="187" t="s">
        <v>409</v>
      </c>
      <c r="N701" s="187">
        <v>312250.45973200002</v>
      </c>
      <c r="O701" s="186">
        <f t="shared" si="34"/>
        <v>312250.45973200002</v>
      </c>
      <c r="P701" s="186">
        <f t="shared" si="35"/>
        <v>96843.169138427838</v>
      </c>
      <c r="Q701" s="215">
        <f>IF(P701="-",0,P701/(1+'General inputs'!$H$30)^'MP Calculations'!$C$40)</f>
        <v>215116.66687176074</v>
      </c>
    </row>
    <row r="702" spans="3:17" x14ac:dyDescent="0.25">
      <c r="C702" s="159"/>
      <c r="D702" s="165" t="s">
        <v>377</v>
      </c>
      <c r="E702" s="162">
        <v>34150</v>
      </c>
      <c r="F702" s="166" t="str">
        <f t="shared" si="33"/>
        <v>Date check - OK</v>
      </c>
      <c r="G702" s="68"/>
      <c r="H702" s="162" t="s">
        <v>279</v>
      </c>
      <c r="I702" s="173">
        <v>89592.114709699614</v>
      </c>
      <c r="J702" s="168">
        <f>IFERROR(MIN('MP Calculations'!$E$30/I702,1),"-")</f>
        <v>0.31014580161562261</v>
      </c>
      <c r="K702" s="12"/>
      <c r="L702" s="159">
        <v>1</v>
      </c>
      <c r="M702" s="187" t="s">
        <v>409</v>
      </c>
      <c r="N702" s="187">
        <v>208166.96785399999</v>
      </c>
      <c r="O702" s="186">
        <f t="shared" si="34"/>
        <v>208166.96785399999</v>
      </c>
      <c r="P702" s="186">
        <f t="shared" si="35"/>
        <v>64562.111114972366</v>
      </c>
      <c r="Q702" s="215">
        <f>IF(P702="-",0,P702/(1+'General inputs'!$H$30)^'MP Calculations'!$C$40)</f>
        <v>143411.10759608686</v>
      </c>
    </row>
    <row r="703" spans="3:17" x14ac:dyDescent="0.25">
      <c r="C703" s="159"/>
      <c r="D703" s="165" t="s">
        <v>378</v>
      </c>
      <c r="E703" s="162">
        <v>34150</v>
      </c>
      <c r="F703" s="166" t="str">
        <f t="shared" si="33"/>
        <v>Date check - OK</v>
      </c>
      <c r="G703" s="68"/>
      <c r="H703" s="162" t="s">
        <v>279</v>
      </c>
      <c r="I703" s="173">
        <v>89592.114709699614</v>
      </c>
      <c r="J703" s="168">
        <f>IFERROR(MIN('MP Calculations'!$E$30/I703,1),"-")</f>
        <v>0.31014580161562261</v>
      </c>
      <c r="K703" s="12"/>
      <c r="L703" s="159">
        <v>1</v>
      </c>
      <c r="M703" s="187" t="s">
        <v>409</v>
      </c>
      <c r="N703" s="187">
        <v>124900.16799</v>
      </c>
      <c r="O703" s="186">
        <f t="shared" si="34"/>
        <v>124900.16799</v>
      </c>
      <c r="P703" s="186">
        <f t="shared" si="35"/>
        <v>38737.262723184474</v>
      </c>
      <c r="Q703" s="215">
        <f>IF(P703="-",0,P703/(1+'General inputs'!$H$30)^'MP Calculations'!$C$40)</f>
        <v>86046.655792892299</v>
      </c>
    </row>
    <row r="704" spans="3:17" x14ac:dyDescent="0.25">
      <c r="C704" s="159"/>
      <c r="D704" s="165" t="s">
        <v>379</v>
      </c>
      <c r="E704" s="162">
        <v>34150</v>
      </c>
      <c r="F704" s="166" t="str">
        <f t="shared" si="33"/>
        <v>Date check - OK</v>
      </c>
      <c r="G704" s="68"/>
      <c r="H704" s="162" t="s">
        <v>279</v>
      </c>
      <c r="I704" s="173">
        <v>89592.114709699614</v>
      </c>
      <c r="J704" s="168">
        <f>IFERROR(MIN('MP Calculations'!$E$30/I704,1),"-")</f>
        <v>0.31014580161562261</v>
      </c>
      <c r="K704" s="12"/>
      <c r="L704" s="159">
        <v>1</v>
      </c>
      <c r="M704" s="187" t="s">
        <v>409</v>
      </c>
      <c r="N704" s="187">
        <v>124900.16799</v>
      </c>
      <c r="O704" s="186">
        <f t="shared" si="34"/>
        <v>124900.16799</v>
      </c>
      <c r="P704" s="186">
        <f t="shared" si="35"/>
        <v>38737.262723184474</v>
      </c>
      <c r="Q704" s="215">
        <f>IF(P704="-",0,P704/(1+'General inputs'!$H$30)^'MP Calculations'!$C$40)</f>
        <v>86046.655792892299</v>
      </c>
    </row>
    <row r="705" spans="3:17" x14ac:dyDescent="0.25">
      <c r="C705" s="159"/>
      <c r="D705" s="165" t="s">
        <v>380</v>
      </c>
      <c r="E705" s="162">
        <v>34150</v>
      </c>
      <c r="F705" s="166" t="str">
        <f t="shared" si="33"/>
        <v>Date check - OK</v>
      </c>
      <c r="G705" s="68"/>
      <c r="H705" s="162" t="s">
        <v>279</v>
      </c>
      <c r="I705" s="173">
        <v>89592.114709699614</v>
      </c>
      <c r="J705" s="168">
        <f>IFERROR(MIN('MP Calculations'!$E$30/I705,1),"-")</f>
        <v>0.31014580161562261</v>
      </c>
      <c r="K705" s="12"/>
      <c r="L705" s="159">
        <v>1</v>
      </c>
      <c r="M705" s="187" t="s">
        <v>409</v>
      </c>
      <c r="N705" s="187">
        <v>653940.78038500005</v>
      </c>
      <c r="O705" s="186">
        <f t="shared" si="34"/>
        <v>653940.78038500005</v>
      </c>
      <c r="P705" s="186">
        <f t="shared" si="35"/>
        <v>202816.98754165164</v>
      </c>
      <c r="Q705" s="215">
        <f>IF(P705="-",0,P705/(1+'General inputs'!$H$30)^'MP Calculations'!$C$40)</f>
        <v>450515.14456913003</v>
      </c>
    </row>
    <row r="706" spans="3:17" x14ac:dyDescent="0.25">
      <c r="C706" s="159"/>
      <c r="D706" s="165" t="s">
        <v>283</v>
      </c>
      <c r="E706" s="162">
        <v>34151</v>
      </c>
      <c r="F706" s="166" t="str">
        <f t="shared" si="33"/>
        <v>Date check - OK</v>
      </c>
      <c r="G706" s="68"/>
      <c r="H706" s="162" t="s">
        <v>279</v>
      </c>
      <c r="I706" s="173">
        <v>89592.114709699614</v>
      </c>
      <c r="J706" s="168">
        <f>IFERROR(MIN('MP Calculations'!$E$30/I706,1),"-")</f>
        <v>0.31014580161562261</v>
      </c>
      <c r="K706" s="12"/>
      <c r="L706" s="159">
        <v>4.0064900000000003</v>
      </c>
      <c r="M706" s="187" t="s">
        <v>408</v>
      </c>
      <c r="N706" s="187">
        <v>480.89954999999998</v>
      </c>
      <c r="O706" s="186">
        <f t="shared" si="34"/>
        <v>1926.7192380795</v>
      </c>
      <c r="P706" s="186">
        <f t="shared" si="35"/>
        <v>597.56388258240816</v>
      </c>
      <c r="Q706" s="215">
        <f>IF(P706="-",0,P706/(1+'General inputs'!$H$30)^'MP Calculations'!$C$40)</f>
        <v>1327.3620825061187</v>
      </c>
    </row>
    <row r="707" spans="3:17" x14ac:dyDescent="0.25">
      <c r="C707" s="159"/>
      <c r="D707" s="165" t="s">
        <v>288</v>
      </c>
      <c r="E707" s="162">
        <v>34173</v>
      </c>
      <c r="F707" s="166" t="str">
        <f t="shared" si="33"/>
        <v>Date check - OK</v>
      </c>
      <c r="G707" s="68"/>
      <c r="H707" s="162" t="s">
        <v>279</v>
      </c>
      <c r="I707" s="173">
        <v>89592.114709699614</v>
      </c>
      <c r="J707" s="168">
        <f>IFERROR(MIN('MP Calculations'!$E$30/I707,1),"-")</f>
        <v>0.31014580161562261</v>
      </c>
      <c r="K707" s="12"/>
      <c r="L707" s="159">
        <v>35.882565999999997</v>
      </c>
      <c r="M707" s="187" t="s">
        <v>408</v>
      </c>
      <c r="N707" s="187">
        <v>480.89954999999998</v>
      </c>
      <c r="O707" s="186">
        <f t="shared" si="34"/>
        <v>17255.909842245299</v>
      </c>
      <c r="P707" s="186">
        <f t="shared" si="35"/>
        <v>5351.8479906300799</v>
      </c>
      <c r="Q707" s="215">
        <f>IF(P707="-",0,P707/(1+'General inputs'!$H$30)^'MP Calculations'!$C$40)</f>
        <v>11888.001101069325</v>
      </c>
    </row>
    <row r="708" spans="3:17" x14ac:dyDescent="0.25">
      <c r="C708" s="159"/>
      <c r="D708" s="165" t="s">
        <v>287</v>
      </c>
      <c r="E708" s="162">
        <v>34278</v>
      </c>
      <c r="F708" s="166" t="str">
        <f t="shared" si="33"/>
        <v>Date check - OK</v>
      </c>
      <c r="G708" s="68"/>
      <c r="H708" s="162" t="s">
        <v>279</v>
      </c>
      <c r="I708" s="173">
        <v>89592.114709699614</v>
      </c>
      <c r="J708" s="168">
        <f>IFERROR(MIN('MP Calculations'!$E$30/I708,1),"-")</f>
        <v>0.31014580161562261</v>
      </c>
      <c r="K708" s="12"/>
      <c r="L708" s="159">
        <v>111.56055499999999</v>
      </c>
      <c r="M708" s="187" t="s">
        <v>408</v>
      </c>
      <c r="N708" s="187">
        <v>833.55921999999998</v>
      </c>
      <c r="O708" s="186">
        <f t="shared" si="34"/>
        <v>92992.329208567098</v>
      </c>
      <c r="P708" s="186">
        <f t="shared" si="35"/>
        <v>28841.180486494919</v>
      </c>
      <c r="Q708" s="215">
        <f>IF(P708="-",0,P708/(1+'General inputs'!$H$30)^'MP Calculations'!$C$40)</f>
        <v>64064.597122315674</v>
      </c>
    </row>
    <row r="709" spans="3:17" x14ac:dyDescent="0.25">
      <c r="C709" s="159"/>
      <c r="D709" s="165" t="s">
        <v>293</v>
      </c>
      <c r="E709" s="162">
        <v>34278</v>
      </c>
      <c r="F709" s="166" t="str">
        <f t="shared" si="33"/>
        <v>Date check - OK</v>
      </c>
      <c r="G709" s="68"/>
      <c r="H709" s="162" t="s">
        <v>279</v>
      </c>
      <c r="I709" s="173">
        <v>89592.114709699614</v>
      </c>
      <c r="J709" s="168">
        <f>IFERROR(MIN('MP Calculations'!$E$30/I709,1),"-")</f>
        <v>0.31014580161562261</v>
      </c>
      <c r="K709" s="12"/>
      <c r="L709" s="159">
        <v>70.815012999999993</v>
      </c>
      <c r="M709" s="187" t="s">
        <v>408</v>
      </c>
      <c r="N709" s="187">
        <v>1009.889055</v>
      </c>
      <c r="O709" s="186">
        <f t="shared" si="34"/>
        <v>71515.306558382712</v>
      </c>
      <c r="P709" s="186">
        <f t="shared" si="35"/>
        <v>22180.172080336601</v>
      </c>
      <c r="Q709" s="215">
        <f>IF(P709="-",0,P709/(1+'General inputs'!$H$30)^'MP Calculations'!$C$40)</f>
        <v>49268.572383705818</v>
      </c>
    </row>
    <row r="710" spans="3:17" x14ac:dyDescent="0.25">
      <c r="C710" s="159"/>
      <c r="D710" s="165" t="s">
        <v>287</v>
      </c>
      <c r="E710" s="162">
        <v>34278</v>
      </c>
      <c r="F710" s="166" t="str">
        <f t="shared" si="33"/>
        <v>Date check - OK</v>
      </c>
      <c r="G710" s="68"/>
      <c r="H710" s="162" t="s">
        <v>279</v>
      </c>
      <c r="I710" s="173">
        <v>89592.114709699614</v>
      </c>
      <c r="J710" s="168">
        <f>IFERROR(MIN('MP Calculations'!$E$30/I710,1),"-")</f>
        <v>0.31014580161562261</v>
      </c>
      <c r="K710" s="12"/>
      <c r="L710" s="159">
        <v>9.4070490000000007</v>
      </c>
      <c r="M710" s="187" t="s">
        <v>408</v>
      </c>
      <c r="N710" s="187">
        <v>833.55921999999998</v>
      </c>
      <c r="O710" s="186">
        <f t="shared" si="34"/>
        <v>7841.3324269417808</v>
      </c>
      <c r="P710" s="186">
        <f t="shared" si="35"/>
        <v>2431.9563312884343</v>
      </c>
      <c r="Q710" s="215">
        <f>IF(P710="-",0,P710/(1+'General inputs'!$H$30)^'MP Calculations'!$C$40)</f>
        <v>5402.0778607177299</v>
      </c>
    </row>
    <row r="711" spans="3:17" x14ac:dyDescent="0.25">
      <c r="C711" s="159"/>
      <c r="D711" s="165" t="s">
        <v>293</v>
      </c>
      <c r="E711" s="162">
        <v>34278</v>
      </c>
      <c r="F711" s="166" t="str">
        <f t="shared" si="33"/>
        <v>Date check - OK</v>
      </c>
      <c r="G711" s="68"/>
      <c r="H711" s="162" t="s">
        <v>279</v>
      </c>
      <c r="I711" s="173">
        <v>89592.114709699614</v>
      </c>
      <c r="J711" s="168">
        <f>IFERROR(MIN('MP Calculations'!$E$30/I711,1),"-")</f>
        <v>0.31014580161562261</v>
      </c>
      <c r="K711" s="12"/>
      <c r="L711" s="159">
        <v>19.117141</v>
      </c>
      <c r="M711" s="187" t="s">
        <v>408</v>
      </c>
      <c r="N711" s="187">
        <v>1009.889055</v>
      </c>
      <c r="O711" s="186">
        <f t="shared" si="34"/>
        <v>19306.191458791756</v>
      </c>
      <c r="P711" s="186">
        <f t="shared" si="35"/>
        <v>5987.7342261316553</v>
      </c>
      <c r="Q711" s="215">
        <f>IF(P711="-",0,P711/(1+'General inputs'!$H$30)^'MP Calculations'!$C$40)</f>
        <v>13300.48820478237</v>
      </c>
    </row>
    <row r="712" spans="3:17" x14ac:dyDescent="0.25">
      <c r="C712" s="159"/>
      <c r="D712" s="165" t="s">
        <v>287</v>
      </c>
      <c r="E712" s="162">
        <v>34278</v>
      </c>
      <c r="F712" s="166" t="str">
        <f t="shared" si="33"/>
        <v>Date check - OK</v>
      </c>
      <c r="G712" s="68"/>
      <c r="H712" s="162" t="s">
        <v>279</v>
      </c>
      <c r="I712" s="173">
        <v>89592.114709699614</v>
      </c>
      <c r="J712" s="168">
        <f>IFERROR(MIN('MP Calculations'!$E$30/I712,1),"-")</f>
        <v>0.31014580161562261</v>
      </c>
      <c r="K712" s="12"/>
      <c r="L712" s="159">
        <v>29.262727000000002</v>
      </c>
      <c r="M712" s="187" t="s">
        <v>408</v>
      </c>
      <c r="N712" s="187">
        <v>833.55921999999998</v>
      </c>
      <c r="O712" s="186">
        <f t="shared" si="34"/>
        <v>24392.215893192941</v>
      </c>
      <c r="P712" s="186">
        <f t="shared" si="35"/>
        <v>7565.1433513756547</v>
      </c>
      <c r="Q712" s="215">
        <f>IF(P712="-",0,P712/(1+'General inputs'!$H$30)^'MP Calculations'!$C$40)</f>
        <v>16804.369751972903</v>
      </c>
    </row>
    <row r="713" spans="3:17" x14ac:dyDescent="0.25">
      <c r="C713" s="159"/>
      <c r="D713" s="165" t="s">
        <v>287</v>
      </c>
      <c r="E713" s="162">
        <v>34278</v>
      </c>
      <c r="F713" s="166" t="str">
        <f t="shared" si="33"/>
        <v>Date check - OK</v>
      </c>
      <c r="G713" s="68"/>
      <c r="H713" s="162" t="s">
        <v>279</v>
      </c>
      <c r="I713" s="173">
        <v>89592.114709699614</v>
      </c>
      <c r="J713" s="168">
        <f>IFERROR(MIN('MP Calculations'!$E$30/I713,1),"-")</f>
        <v>0.31014580161562261</v>
      </c>
      <c r="K713" s="12"/>
      <c r="L713" s="159">
        <v>29.396284999999999</v>
      </c>
      <c r="M713" s="187" t="s">
        <v>408</v>
      </c>
      <c r="N713" s="187">
        <v>833.55921999999998</v>
      </c>
      <c r="O713" s="186">
        <f t="shared" si="34"/>
        <v>24503.544395497698</v>
      </c>
      <c r="P713" s="186">
        <f t="shared" si="35"/>
        <v>7599.6714189656304</v>
      </c>
      <c r="Q713" s="215">
        <f>IF(P713="-",0,P713/(1+'General inputs'!$H$30)^'MP Calculations'!$C$40)</f>
        <v>16881.066568894097</v>
      </c>
    </row>
    <row r="714" spans="3:17" x14ac:dyDescent="0.25">
      <c r="C714" s="159"/>
      <c r="D714" s="165" t="s">
        <v>287</v>
      </c>
      <c r="E714" s="162">
        <v>34278</v>
      </c>
      <c r="F714" s="166" t="str">
        <f t="shared" si="33"/>
        <v>Date check - OK</v>
      </c>
      <c r="G714" s="68"/>
      <c r="H714" s="162" t="s">
        <v>279</v>
      </c>
      <c r="I714" s="173">
        <v>89592.114709699614</v>
      </c>
      <c r="J714" s="168">
        <f>IFERROR(MIN('MP Calculations'!$E$30/I714,1),"-")</f>
        <v>0.31014580161562261</v>
      </c>
      <c r="K714" s="12"/>
      <c r="L714" s="159">
        <v>38.567968</v>
      </c>
      <c r="M714" s="187" t="s">
        <v>408</v>
      </c>
      <c r="N714" s="187">
        <v>833.55921999999998</v>
      </c>
      <c r="O714" s="186">
        <f t="shared" si="34"/>
        <v>32148.685323064961</v>
      </c>
      <c r="P714" s="186">
        <f t="shared" si="35"/>
        <v>9970.779780410383</v>
      </c>
      <c r="Q714" s="215">
        <f>IF(P714="-",0,P714/(1+'General inputs'!$H$30)^'MP Calculations'!$C$40)</f>
        <v>22147.983503186795</v>
      </c>
    </row>
    <row r="715" spans="3:17" x14ac:dyDescent="0.25">
      <c r="C715" s="159"/>
      <c r="D715" s="165" t="s">
        <v>287</v>
      </c>
      <c r="E715" s="162">
        <v>34278</v>
      </c>
      <c r="F715" s="166" t="str">
        <f t="shared" si="33"/>
        <v>Date check - OK</v>
      </c>
      <c r="G715" s="68"/>
      <c r="H715" s="162" t="s">
        <v>279</v>
      </c>
      <c r="I715" s="173">
        <v>89592.114709699614</v>
      </c>
      <c r="J715" s="168">
        <f>IFERROR(MIN('MP Calculations'!$E$30/I715,1),"-")</f>
        <v>0.31014580161562261</v>
      </c>
      <c r="K715" s="12"/>
      <c r="L715" s="159">
        <v>33.428747000000001</v>
      </c>
      <c r="M715" s="187" t="s">
        <v>408</v>
      </c>
      <c r="N715" s="187">
        <v>833.55921999999998</v>
      </c>
      <c r="O715" s="186">
        <f t="shared" si="34"/>
        <v>27864.840274897342</v>
      </c>
      <c r="P715" s="186">
        <f t="shared" si="35"/>
        <v>8642.1632239493229</v>
      </c>
      <c r="Q715" s="215">
        <f>IF(P715="-",0,P715/(1+'General inputs'!$H$30)^'MP Calculations'!$C$40)</f>
        <v>19196.742153701362</v>
      </c>
    </row>
    <row r="716" spans="3:17" x14ac:dyDescent="0.25">
      <c r="C716" s="159"/>
      <c r="D716" s="165" t="s">
        <v>287</v>
      </c>
      <c r="E716" s="162">
        <v>34278</v>
      </c>
      <c r="F716" s="166" t="str">
        <f t="shared" si="33"/>
        <v>Date check - OK</v>
      </c>
      <c r="G716" s="68"/>
      <c r="H716" s="162" t="s">
        <v>279</v>
      </c>
      <c r="I716" s="173">
        <v>89592.114709699614</v>
      </c>
      <c r="J716" s="168">
        <f>IFERROR(MIN('MP Calculations'!$E$30/I716,1),"-")</f>
        <v>0.31014580161562261</v>
      </c>
      <c r="K716" s="12"/>
      <c r="L716" s="159">
        <v>35.485301999999997</v>
      </c>
      <c r="M716" s="187" t="s">
        <v>408</v>
      </c>
      <c r="N716" s="187">
        <v>833.55921999999998</v>
      </c>
      <c r="O716" s="186">
        <f t="shared" si="34"/>
        <v>29579.100656584436</v>
      </c>
      <c r="P716" s="186">
        <f t="shared" si="35"/>
        <v>9173.8338842055691</v>
      </c>
      <c r="Q716" s="215">
        <f>IF(P716="-",0,P716/(1+'General inputs'!$H$30)^'MP Calculations'!$C$40)</f>
        <v>20377.736345912785</v>
      </c>
    </row>
    <row r="717" spans="3:17" x14ac:dyDescent="0.25">
      <c r="C717" s="159"/>
      <c r="D717" s="165" t="s">
        <v>287</v>
      </c>
      <c r="E717" s="162">
        <v>34278</v>
      </c>
      <c r="F717" s="166" t="str">
        <f t="shared" si="33"/>
        <v>Date check - OK</v>
      </c>
      <c r="G717" s="68"/>
      <c r="H717" s="162" t="s">
        <v>279</v>
      </c>
      <c r="I717" s="173">
        <v>89592.114709699614</v>
      </c>
      <c r="J717" s="168">
        <f>IFERROR(MIN('MP Calculations'!$E$30/I717,1),"-")</f>
        <v>0.31014580161562261</v>
      </c>
      <c r="K717" s="12"/>
      <c r="L717" s="159">
        <v>36.375436000000001</v>
      </c>
      <c r="M717" s="187" t="s">
        <v>408</v>
      </c>
      <c r="N717" s="187">
        <v>833.55921999999998</v>
      </c>
      <c r="O717" s="186">
        <f t="shared" si="34"/>
        <v>30321.08005931992</v>
      </c>
      <c r="P717" s="186">
        <f t="shared" si="35"/>
        <v>9403.9556808492471</v>
      </c>
      <c r="Q717" s="215">
        <f>IF(P717="-",0,P717/(1+'General inputs'!$H$30)^'MP Calculations'!$C$40)</f>
        <v>20888.903362739438</v>
      </c>
    </row>
    <row r="718" spans="3:17" x14ac:dyDescent="0.25">
      <c r="C718" s="159"/>
      <c r="D718" s="165" t="s">
        <v>287</v>
      </c>
      <c r="E718" s="162">
        <v>34278</v>
      </c>
      <c r="F718" s="166" t="str">
        <f t="shared" si="33"/>
        <v>Date check - OK</v>
      </c>
      <c r="G718" s="68"/>
      <c r="H718" s="162" t="s">
        <v>279</v>
      </c>
      <c r="I718" s="173">
        <v>89592.114709699614</v>
      </c>
      <c r="J718" s="168">
        <f>IFERROR(MIN('MP Calculations'!$E$30/I718,1),"-")</f>
        <v>0.31014580161562261</v>
      </c>
      <c r="K718" s="12"/>
      <c r="L718" s="159">
        <v>83.124487000000002</v>
      </c>
      <c r="M718" s="187" t="s">
        <v>408</v>
      </c>
      <c r="N718" s="187">
        <v>833.55921999999998</v>
      </c>
      <c r="O718" s="186">
        <f t="shared" si="34"/>
        <v>69289.182546620141</v>
      </c>
      <c r="P718" s="186">
        <f t="shared" si="35"/>
        <v>21489.749064212712</v>
      </c>
      <c r="Q718" s="215">
        <f>IF(P718="-",0,P718/(1+'General inputs'!$H$30)^'MP Calculations'!$C$40)</f>
        <v>47734.943328797235</v>
      </c>
    </row>
    <row r="719" spans="3:17" x14ac:dyDescent="0.25">
      <c r="C719" s="159"/>
      <c r="D719" s="165" t="s">
        <v>287</v>
      </c>
      <c r="E719" s="162">
        <v>34278</v>
      </c>
      <c r="F719" s="166" t="str">
        <f t="shared" si="33"/>
        <v>Date check - OK</v>
      </c>
      <c r="G719" s="68"/>
      <c r="H719" s="162" t="s">
        <v>279</v>
      </c>
      <c r="I719" s="173">
        <v>89592.114709699614</v>
      </c>
      <c r="J719" s="168">
        <f>IFERROR(MIN('MP Calculations'!$E$30/I719,1),"-")</f>
        <v>0.31014580161562261</v>
      </c>
      <c r="K719" s="12"/>
      <c r="L719" s="159">
        <v>50.700029000000001</v>
      </c>
      <c r="M719" s="187" t="s">
        <v>408</v>
      </c>
      <c r="N719" s="187">
        <v>833.55921999999998</v>
      </c>
      <c r="O719" s="186">
        <f t="shared" si="34"/>
        <v>42261.47662721738</v>
      </c>
      <c r="P719" s="186">
        <f t="shared" si="35"/>
        <v>13107.219546008233</v>
      </c>
      <c r="Q719" s="215">
        <f>IF(P719="-",0,P719/(1+'General inputs'!$H$30)^'MP Calculations'!$C$40)</f>
        <v>29114.922671142333</v>
      </c>
    </row>
    <row r="720" spans="3:17" x14ac:dyDescent="0.25">
      <c r="C720" s="159"/>
      <c r="D720" s="165" t="s">
        <v>287</v>
      </c>
      <c r="E720" s="162">
        <v>34278</v>
      </c>
      <c r="F720" s="166" t="str">
        <f t="shared" si="33"/>
        <v>Date check - OK</v>
      </c>
      <c r="G720" s="68"/>
      <c r="H720" s="162" t="s">
        <v>279</v>
      </c>
      <c r="I720" s="173">
        <v>89592.114709699614</v>
      </c>
      <c r="J720" s="168">
        <f>IFERROR(MIN('MP Calculations'!$E$30/I720,1),"-")</f>
        <v>0.31014580161562261</v>
      </c>
      <c r="K720" s="12"/>
      <c r="L720" s="159">
        <v>5.668355</v>
      </c>
      <c r="M720" s="187" t="s">
        <v>408</v>
      </c>
      <c r="N720" s="187">
        <v>833.55921999999998</v>
      </c>
      <c r="O720" s="186">
        <f t="shared" si="34"/>
        <v>4724.9095724830995</v>
      </c>
      <c r="P720" s="186">
        <f t="shared" si="35"/>
        <v>1465.4108669190996</v>
      </c>
      <c r="Q720" s="215">
        <f>IF(P720="-",0,P720/(1+'General inputs'!$H$30)^'MP Calculations'!$C$40)</f>
        <v>3255.1010473304264</v>
      </c>
    </row>
    <row r="721" spans="3:17" x14ac:dyDescent="0.25">
      <c r="C721" s="159"/>
      <c r="D721" s="165" t="s">
        <v>287</v>
      </c>
      <c r="E721" s="162">
        <v>34278</v>
      </c>
      <c r="F721" s="166" t="str">
        <f t="shared" si="33"/>
        <v>Date check - OK</v>
      </c>
      <c r="G721" s="68"/>
      <c r="H721" s="162" t="s">
        <v>279</v>
      </c>
      <c r="I721" s="173">
        <v>89592.114709699614</v>
      </c>
      <c r="J721" s="168">
        <f>IFERROR(MIN('MP Calculations'!$E$30/I721,1),"-")</f>
        <v>0.31014580161562261</v>
      </c>
      <c r="K721" s="12"/>
      <c r="L721" s="159">
        <v>42.238109000000001</v>
      </c>
      <c r="M721" s="187" t="s">
        <v>408</v>
      </c>
      <c r="N721" s="187">
        <v>833.55921999999998</v>
      </c>
      <c r="O721" s="186">
        <f t="shared" si="34"/>
        <v>35207.96519231498</v>
      </c>
      <c r="P721" s="186">
        <f t="shared" si="35"/>
        <v>10919.602587825468</v>
      </c>
      <c r="Q721" s="215">
        <f>IF(P721="-",0,P721/(1+'General inputs'!$H$30)^'MP Calculations'!$C$40)</f>
        <v>24255.593173532132</v>
      </c>
    </row>
    <row r="722" spans="3:17" x14ac:dyDescent="0.25">
      <c r="C722" s="159"/>
      <c r="D722" s="165" t="s">
        <v>306</v>
      </c>
      <c r="E722" s="162">
        <v>34278</v>
      </c>
      <c r="F722" s="166" t="str">
        <f t="shared" si="33"/>
        <v>Date check - OK</v>
      </c>
      <c r="G722" s="68"/>
      <c r="H722" s="162" t="s">
        <v>279</v>
      </c>
      <c r="I722" s="173">
        <v>89592.114709699614</v>
      </c>
      <c r="J722" s="168">
        <f>IFERROR(MIN('MP Calculations'!$E$30/I722,1),"-")</f>
        <v>0.31014580161562261</v>
      </c>
      <c r="K722" s="12"/>
      <c r="L722" s="159">
        <v>23.265412000000001</v>
      </c>
      <c r="M722" s="187" t="s">
        <v>408</v>
      </c>
      <c r="N722" s="187">
        <v>1362.548726</v>
      </c>
      <c r="O722" s="186">
        <f t="shared" si="34"/>
        <v>31700.257480465112</v>
      </c>
      <c r="P722" s="186">
        <f t="shared" si="35"/>
        <v>9831.7017677004897</v>
      </c>
      <c r="Q722" s="215">
        <f>IF(P722="-",0,P722/(1+'General inputs'!$H$30)^'MP Calculations'!$C$40)</f>
        <v>21839.051042637762</v>
      </c>
    </row>
    <row r="723" spans="3:17" x14ac:dyDescent="0.25">
      <c r="C723" s="159"/>
      <c r="D723" s="165" t="s">
        <v>287</v>
      </c>
      <c r="E723" s="162">
        <v>34278</v>
      </c>
      <c r="F723" s="166" t="str">
        <f t="shared" si="33"/>
        <v>Date check - OK</v>
      </c>
      <c r="G723" s="68"/>
      <c r="H723" s="162" t="s">
        <v>279</v>
      </c>
      <c r="I723" s="173">
        <v>89592.114709699614</v>
      </c>
      <c r="J723" s="168">
        <f>IFERROR(MIN('MP Calculations'!$E$30/I723,1),"-")</f>
        <v>0.31014580161562261</v>
      </c>
      <c r="K723" s="12"/>
      <c r="L723" s="159">
        <v>83.443398999999999</v>
      </c>
      <c r="M723" s="187" t="s">
        <v>408</v>
      </c>
      <c r="N723" s="187">
        <v>833.55921999999998</v>
      </c>
      <c r="O723" s="186">
        <f t="shared" si="34"/>
        <v>69555.014584588775</v>
      </c>
      <c r="P723" s="186">
        <f t="shared" si="35"/>
        <v>21572.195754723609</v>
      </c>
      <c r="Q723" s="215">
        <f>IF(P723="-",0,P723/(1+'General inputs'!$H$30)^'MP Calculations'!$C$40)</f>
        <v>47918.081255974736</v>
      </c>
    </row>
    <row r="724" spans="3:17" x14ac:dyDescent="0.25">
      <c r="C724" s="159"/>
      <c r="D724" s="165" t="s">
        <v>287</v>
      </c>
      <c r="E724" s="162">
        <v>34278</v>
      </c>
      <c r="F724" s="166" t="str">
        <f t="shared" si="33"/>
        <v>Date check - OK</v>
      </c>
      <c r="G724" s="68"/>
      <c r="H724" s="162" t="s">
        <v>279</v>
      </c>
      <c r="I724" s="173">
        <v>89592.114709699614</v>
      </c>
      <c r="J724" s="168">
        <f>IFERROR(MIN('MP Calculations'!$E$30/I724,1),"-")</f>
        <v>0.31014580161562261</v>
      </c>
      <c r="K724" s="12"/>
      <c r="L724" s="159">
        <v>69.583965000000006</v>
      </c>
      <c r="M724" s="187" t="s">
        <v>408</v>
      </c>
      <c r="N724" s="187">
        <v>833.55921999999998</v>
      </c>
      <c r="O724" s="186">
        <f t="shared" si="34"/>
        <v>58002.355589907304</v>
      </c>
      <c r="P724" s="186">
        <f t="shared" si="35"/>
        <v>17989.18707002619</v>
      </c>
      <c r="Q724" s="215">
        <f>IF(P724="-",0,P724/(1+'General inputs'!$H$30)^'MP Calculations'!$C$40)</f>
        <v>39959.183457793974</v>
      </c>
    </row>
    <row r="725" spans="3:17" x14ac:dyDescent="0.25">
      <c r="C725" s="159"/>
      <c r="D725" s="165" t="s">
        <v>294</v>
      </c>
      <c r="E725" s="162">
        <v>34278</v>
      </c>
      <c r="F725" s="166" t="str">
        <f t="shared" si="33"/>
        <v>Date check - OK</v>
      </c>
      <c r="G725" s="68"/>
      <c r="H725" s="162" t="s">
        <v>279</v>
      </c>
      <c r="I725" s="173">
        <v>89592.114709699614</v>
      </c>
      <c r="J725" s="168">
        <f>IFERROR(MIN('MP Calculations'!$E$30/I725,1),"-")</f>
        <v>0.31014580161562261</v>
      </c>
      <c r="K725" s="12"/>
      <c r="L725" s="159">
        <v>53.236021999999998</v>
      </c>
      <c r="M725" s="187" t="s">
        <v>408</v>
      </c>
      <c r="N725" s="187">
        <v>1186.218891</v>
      </c>
      <c r="O725" s="186">
        <f t="shared" si="34"/>
        <v>63149.574978091601</v>
      </c>
      <c r="P725" s="186">
        <f t="shared" si="35"/>
        <v>19585.575553266084</v>
      </c>
      <c r="Q725" s="215">
        <f>IF(P725="-",0,P725/(1+'General inputs'!$H$30)^'MP Calculations'!$C$40)</f>
        <v>43505.223644233571</v>
      </c>
    </row>
    <row r="726" spans="3:17" x14ac:dyDescent="0.25">
      <c r="C726" s="159"/>
      <c r="D726" s="165" t="s">
        <v>287</v>
      </c>
      <c r="E726" s="162">
        <v>34278</v>
      </c>
      <c r="F726" s="166" t="str">
        <f t="shared" si="33"/>
        <v>Date check - OK</v>
      </c>
      <c r="G726" s="68"/>
      <c r="H726" s="162" t="s">
        <v>279</v>
      </c>
      <c r="I726" s="173">
        <v>89592.114709699614</v>
      </c>
      <c r="J726" s="168">
        <f>IFERROR(MIN('MP Calculations'!$E$30/I726,1),"-")</f>
        <v>0.31014580161562261</v>
      </c>
      <c r="K726" s="12"/>
      <c r="L726" s="159">
        <v>20.321211999999999</v>
      </c>
      <c r="M726" s="187" t="s">
        <v>408</v>
      </c>
      <c r="N726" s="187">
        <v>833.55921999999998</v>
      </c>
      <c r="O726" s="186">
        <f t="shared" si="34"/>
        <v>16938.933624174639</v>
      </c>
      <c r="P726" s="186">
        <f t="shared" si="35"/>
        <v>5253.539147383467</v>
      </c>
      <c r="Q726" s="215">
        <f>IF(P726="-",0,P726/(1+'General inputs'!$H$30)^'MP Calculations'!$C$40)</f>
        <v>11669.628748415304</v>
      </c>
    </row>
    <row r="727" spans="3:17" x14ac:dyDescent="0.25">
      <c r="C727" s="159"/>
      <c r="D727" s="165" t="s">
        <v>287</v>
      </c>
      <c r="E727" s="162">
        <v>34278</v>
      </c>
      <c r="F727" s="166" t="str">
        <f t="shared" ref="F727:F790" si="36">IF(E727="","-",IF(OR(E727&lt;$E$15,E727&gt;$E$16),"ERROR - date outside of range","Date check - OK"))</f>
        <v>Date check - OK</v>
      </c>
      <c r="G727" s="68"/>
      <c r="H727" s="162" t="s">
        <v>279</v>
      </c>
      <c r="I727" s="173">
        <v>89592.114709699614</v>
      </c>
      <c r="J727" s="168">
        <f>IFERROR(MIN('MP Calculations'!$E$30/I727,1),"-")</f>
        <v>0.31014580161562261</v>
      </c>
      <c r="K727" s="12"/>
      <c r="L727" s="159">
        <v>62.036562000000004</v>
      </c>
      <c r="M727" s="187" t="s">
        <v>408</v>
      </c>
      <c r="N727" s="187">
        <v>833.55921999999998</v>
      </c>
      <c r="O727" s="186">
        <f t="shared" ref="O727:O790" si="37">IF(N727="","-",L727*N727)</f>
        <v>51711.148232201645</v>
      </c>
      <c r="P727" s="186">
        <f t="shared" ref="P727:P790" si="38">IF(O727="-","-",IF(OR(E727&lt;$E$15,E727&gt;$E$16),0,O727*J727))</f>
        <v>16037.995520940465</v>
      </c>
      <c r="Q727" s="215">
        <f>IF(P727="-",0,P727/(1+'General inputs'!$H$30)^'MP Calculations'!$C$40)</f>
        <v>35625.023122048457</v>
      </c>
    </row>
    <row r="728" spans="3:17" x14ac:dyDescent="0.25">
      <c r="C728" s="159"/>
      <c r="D728" s="165" t="s">
        <v>287</v>
      </c>
      <c r="E728" s="162">
        <v>34278</v>
      </c>
      <c r="F728" s="166" t="str">
        <f t="shared" si="36"/>
        <v>Date check - OK</v>
      </c>
      <c r="G728" s="68"/>
      <c r="H728" s="162" t="s">
        <v>279</v>
      </c>
      <c r="I728" s="173">
        <v>89592.114709699614</v>
      </c>
      <c r="J728" s="168">
        <f>IFERROR(MIN('MP Calculations'!$E$30/I728,1),"-")</f>
        <v>0.31014580161562261</v>
      </c>
      <c r="K728" s="12"/>
      <c r="L728" s="159">
        <v>19.320720999999999</v>
      </c>
      <c r="M728" s="187" t="s">
        <v>408</v>
      </c>
      <c r="N728" s="187">
        <v>833.55921999999998</v>
      </c>
      <c r="O728" s="186">
        <f t="shared" si="37"/>
        <v>16104.965126597619</v>
      </c>
      <c r="P728" s="186">
        <f t="shared" si="38"/>
        <v>4994.8873191802659</v>
      </c>
      <c r="Q728" s="215">
        <f>IF(P728="-",0,P728/(1+'General inputs'!$H$30)^'MP Calculations'!$C$40)</f>
        <v>11095.088286156913</v>
      </c>
    </row>
    <row r="729" spans="3:17" x14ac:dyDescent="0.25">
      <c r="C729" s="159"/>
      <c r="D729" s="165" t="s">
        <v>287</v>
      </c>
      <c r="E729" s="162">
        <v>34278</v>
      </c>
      <c r="F729" s="166" t="str">
        <f t="shared" si="36"/>
        <v>Date check - OK</v>
      </c>
      <c r="G729" s="68"/>
      <c r="H729" s="162" t="s">
        <v>279</v>
      </c>
      <c r="I729" s="173">
        <v>89592.114709699614</v>
      </c>
      <c r="J729" s="168">
        <f>IFERROR(MIN('MP Calculations'!$E$30/I729,1),"-")</f>
        <v>0.31014580161562261</v>
      </c>
      <c r="K729" s="12"/>
      <c r="L729" s="159">
        <v>76.428498000000005</v>
      </c>
      <c r="M729" s="187" t="s">
        <v>408</v>
      </c>
      <c r="N729" s="187">
        <v>833.55921999999998</v>
      </c>
      <c r="O729" s="186">
        <f t="shared" si="37"/>
        <v>63707.679178651561</v>
      </c>
      <c r="P729" s="186">
        <f t="shared" si="38"/>
        <v>19758.669227933799</v>
      </c>
      <c r="Q729" s="215">
        <f>IF(P729="-",0,P729/(1+'General inputs'!$H$30)^'MP Calculations'!$C$40)</f>
        <v>43889.714720706703</v>
      </c>
    </row>
    <row r="730" spans="3:17" x14ac:dyDescent="0.25">
      <c r="C730" s="159"/>
      <c r="D730" s="165" t="s">
        <v>283</v>
      </c>
      <c r="E730" s="162">
        <v>34278</v>
      </c>
      <c r="F730" s="166" t="str">
        <f t="shared" si="36"/>
        <v>Date check - OK</v>
      </c>
      <c r="G730" s="68"/>
      <c r="H730" s="162" t="s">
        <v>279</v>
      </c>
      <c r="I730" s="173">
        <v>89592.114709699614</v>
      </c>
      <c r="J730" s="168">
        <f>IFERROR(MIN('MP Calculations'!$E$30/I730,1),"-")</f>
        <v>0.31014580161562261</v>
      </c>
      <c r="K730" s="12"/>
      <c r="L730" s="159">
        <v>147.56370000000001</v>
      </c>
      <c r="M730" s="187" t="s">
        <v>408</v>
      </c>
      <c r="N730" s="187">
        <v>480.89954999999998</v>
      </c>
      <c r="O730" s="186">
        <f t="shared" si="37"/>
        <v>70963.316926334999</v>
      </c>
      <c r="P730" s="186">
        <f t="shared" si="38"/>
        <v>22008.97481342165</v>
      </c>
      <c r="Q730" s="215">
        <f>IF(P730="-",0,P730/(1+'General inputs'!$H$30)^'MP Calculations'!$C$40)</f>
        <v>48888.293776923972</v>
      </c>
    </row>
    <row r="731" spans="3:17" x14ac:dyDescent="0.25">
      <c r="C731" s="159"/>
      <c r="D731" s="165" t="s">
        <v>287</v>
      </c>
      <c r="E731" s="162">
        <v>34278</v>
      </c>
      <c r="F731" s="166" t="str">
        <f t="shared" si="36"/>
        <v>Date check - OK</v>
      </c>
      <c r="G731" s="68"/>
      <c r="H731" s="162" t="s">
        <v>279</v>
      </c>
      <c r="I731" s="173">
        <v>89592.114709699614</v>
      </c>
      <c r="J731" s="168">
        <f>IFERROR(MIN('MP Calculations'!$E$30/I731,1),"-")</f>
        <v>0.31014580161562261</v>
      </c>
      <c r="K731" s="12"/>
      <c r="L731" s="159">
        <v>35.204991999999997</v>
      </c>
      <c r="M731" s="187" t="s">
        <v>408</v>
      </c>
      <c r="N731" s="187">
        <v>833.55921999999998</v>
      </c>
      <c r="O731" s="186">
        <f t="shared" si="37"/>
        <v>29345.445671626236</v>
      </c>
      <c r="P731" s="186">
        <f t="shared" si="38"/>
        <v>9101.3667715942211</v>
      </c>
      <c r="Q731" s="215">
        <f>IF(P731="-",0,P731/(1+'General inputs'!$H$30)^'MP Calculations'!$C$40)</f>
        <v>20216.765945403786</v>
      </c>
    </row>
    <row r="732" spans="3:17" x14ac:dyDescent="0.25">
      <c r="C732" s="159"/>
      <c r="D732" s="165" t="s">
        <v>287</v>
      </c>
      <c r="E732" s="162">
        <v>34278</v>
      </c>
      <c r="F732" s="166" t="str">
        <f t="shared" si="36"/>
        <v>Date check - OK</v>
      </c>
      <c r="G732" s="68"/>
      <c r="H732" s="162" t="s">
        <v>279</v>
      </c>
      <c r="I732" s="173">
        <v>89592.114709699614</v>
      </c>
      <c r="J732" s="168">
        <f>IFERROR(MIN('MP Calculations'!$E$30/I732,1),"-")</f>
        <v>0.31014580161562261</v>
      </c>
      <c r="K732" s="12"/>
      <c r="L732" s="159">
        <v>28.291955000000002</v>
      </c>
      <c r="M732" s="187" t="s">
        <v>408</v>
      </c>
      <c r="N732" s="187">
        <v>833.55921999999998</v>
      </c>
      <c r="O732" s="186">
        <f t="shared" si="37"/>
        <v>23583.019942075101</v>
      </c>
      <c r="P732" s="186">
        <f t="shared" si="38"/>
        <v>7314.1746244520964</v>
      </c>
      <c r="Q732" s="215">
        <f>IF(P732="-",0,P732/(1+'General inputs'!$H$30)^'MP Calculations'!$C$40)</f>
        <v>16246.895678115663</v>
      </c>
    </row>
    <row r="733" spans="3:17" x14ac:dyDescent="0.25">
      <c r="C733" s="159"/>
      <c r="D733" s="165" t="s">
        <v>306</v>
      </c>
      <c r="E733" s="162">
        <v>34278</v>
      </c>
      <c r="F733" s="166" t="str">
        <f t="shared" si="36"/>
        <v>Date check - OK</v>
      </c>
      <c r="G733" s="68"/>
      <c r="H733" s="162" t="s">
        <v>279</v>
      </c>
      <c r="I733" s="173">
        <v>89592.114709699614</v>
      </c>
      <c r="J733" s="168">
        <f>IFERROR(MIN('MP Calculations'!$E$30/I733,1),"-")</f>
        <v>0.31014580161562261</v>
      </c>
      <c r="K733" s="12"/>
      <c r="L733" s="159">
        <v>67.256101999999998</v>
      </c>
      <c r="M733" s="187" t="s">
        <v>408</v>
      </c>
      <c r="N733" s="187">
        <v>1362.548726</v>
      </c>
      <c r="O733" s="186">
        <f t="shared" si="37"/>
        <v>91639.71609582605</v>
      </c>
      <c r="P733" s="186">
        <f t="shared" si="38"/>
        <v>28421.673208368044</v>
      </c>
      <c r="Q733" s="215">
        <f>IF(P733="-",0,P733/(1+'General inputs'!$H$30)^'MP Calculations'!$C$40)</f>
        <v>63132.750217655783</v>
      </c>
    </row>
    <row r="734" spans="3:17" x14ac:dyDescent="0.25">
      <c r="C734" s="159"/>
      <c r="D734" s="165" t="s">
        <v>306</v>
      </c>
      <c r="E734" s="162">
        <v>34278</v>
      </c>
      <c r="F734" s="166" t="str">
        <f t="shared" si="36"/>
        <v>Date check - OK</v>
      </c>
      <c r="G734" s="68"/>
      <c r="H734" s="162" t="s">
        <v>279</v>
      </c>
      <c r="I734" s="173">
        <v>89592.114709699614</v>
      </c>
      <c r="J734" s="168">
        <f>IFERROR(MIN('MP Calculations'!$E$30/I734,1),"-")</f>
        <v>0.31014580161562261</v>
      </c>
      <c r="K734" s="12"/>
      <c r="L734" s="159">
        <v>8.5637179999999997</v>
      </c>
      <c r="M734" s="187" t="s">
        <v>408</v>
      </c>
      <c r="N734" s="187">
        <v>1362.548726</v>
      </c>
      <c r="O734" s="186">
        <f t="shared" si="37"/>
        <v>11668.483050723267</v>
      </c>
      <c r="P734" s="186">
        <f t="shared" si="38"/>
        <v>3618.9310294048732</v>
      </c>
      <c r="Q734" s="215">
        <f>IF(P734="-",0,P734/(1+'General inputs'!$H$30)^'MP Calculations'!$C$40)</f>
        <v>8038.6917075337306</v>
      </c>
    </row>
    <row r="735" spans="3:17" x14ac:dyDescent="0.25">
      <c r="C735" s="159"/>
      <c r="D735" s="165" t="s">
        <v>283</v>
      </c>
      <c r="E735" s="162">
        <v>34278</v>
      </c>
      <c r="F735" s="166" t="str">
        <f t="shared" si="36"/>
        <v>Date check - OK</v>
      </c>
      <c r="G735" s="68"/>
      <c r="H735" s="162" t="s">
        <v>279</v>
      </c>
      <c r="I735" s="173">
        <v>89592.114709699614</v>
      </c>
      <c r="J735" s="168">
        <f>IFERROR(MIN('MP Calculations'!$E$30/I735,1),"-")</f>
        <v>0.31014580161562261</v>
      </c>
      <c r="K735" s="12"/>
      <c r="L735" s="159">
        <v>17.815615999999999</v>
      </c>
      <c r="M735" s="187" t="s">
        <v>408</v>
      </c>
      <c r="N735" s="187">
        <v>480.89954999999998</v>
      </c>
      <c r="O735" s="186">
        <f t="shared" si="37"/>
        <v>8567.5217173727997</v>
      </c>
      <c r="P735" s="186">
        <f t="shared" si="38"/>
        <v>2657.1808908938428</v>
      </c>
      <c r="Q735" s="215">
        <f>IF(P735="-",0,P735/(1+'General inputs'!$H$30)^'MP Calculations'!$C$40)</f>
        <v>5902.3666987536044</v>
      </c>
    </row>
    <row r="736" spans="3:17" x14ac:dyDescent="0.25">
      <c r="C736" s="159"/>
      <c r="D736" s="165" t="s">
        <v>287</v>
      </c>
      <c r="E736" s="162">
        <v>34278</v>
      </c>
      <c r="F736" s="166" t="str">
        <f t="shared" si="36"/>
        <v>Date check - OK</v>
      </c>
      <c r="G736" s="68"/>
      <c r="H736" s="162" t="s">
        <v>279</v>
      </c>
      <c r="I736" s="173">
        <v>89592.114709699614</v>
      </c>
      <c r="J736" s="168">
        <f>IFERROR(MIN('MP Calculations'!$E$30/I736,1),"-")</f>
        <v>0.31014580161562261</v>
      </c>
      <c r="K736" s="12"/>
      <c r="L736" s="159">
        <v>6.9840489999999997</v>
      </c>
      <c r="M736" s="187" t="s">
        <v>408</v>
      </c>
      <c r="N736" s="187">
        <v>833.55921999999998</v>
      </c>
      <c r="O736" s="186">
        <f t="shared" si="37"/>
        <v>5821.6184368817794</v>
      </c>
      <c r="P736" s="186">
        <f t="shared" si="38"/>
        <v>1805.5505168069874</v>
      </c>
      <c r="Q736" s="215">
        <f>IF(P736="-",0,P736/(1+'General inputs'!$H$30)^'MP Calculations'!$C$40)</f>
        <v>4010.6495119848732</v>
      </c>
    </row>
    <row r="737" spans="3:17" x14ac:dyDescent="0.25">
      <c r="C737" s="159"/>
      <c r="D737" s="165" t="s">
        <v>287</v>
      </c>
      <c r="E737" s="162">
        <v>34278</v>
      </c>
      <c r="F737" s="166" t="str">
        <f t="shared" si="36"/>
        <v>Date check - OK</v>
      </c>
      <c r="G737" s="68"/>
      <c r="H737" s="162" t="s">
        <v>279</v>
      </c>
      <c r="I737" s="173">
        <v>89592.114709699614</v>
      </c>
      <c r="J737" s="168">
        <f>IFERROR(MIN('MP Calculations'!$E$30/I737,1),"-")</f>
        <v>0.31014580161562261</v>
      </c>
      <c r="K737" s="12"/>
      <c r="L737" s="159">
        <v>47.089320999999998</v>
      </c>
      <c r="M737" s="187" t="s">
        <v>408</v>
      </c>
      <c r="N737" s="187">
        <v>833.55921999999998</v>
      </c>
      <c r="O737" s="186">
        <f t="shared" si="37"/>
        <v>39251.737683089617</v>
      </c>
      <c r="P737" s="186">
        <f t="shared" si="38"/>
        <v>12173.76164852797</v>
      </c>
      <c r="Q737" s="215">
        <f>IF(P737="-",0,P737/(1+'General inputs'!$H$30)^'MP Calculations'!$C$40)</f>
        <v>27041.442906306795</v>
      </c>
    </row>
    <row r="738" spans="3:17" x14ac:dyDescent="0.25">
      <c r="C738" s="159"/>
      <c r="D738" s="165" t="s">
        <v>287</v>
      </c>
      <c r="E738" s="162">
        <v>34278</v>
      </c>
      <c r="F738" s="166" t="str">
        <f t="shared" si="36"/>
        <v>Date check - OK</v>
      </c>
      <c r="G738" s="68"/>
      <c r="H738" s="162" t="s">
        <v>279</v>
      </c>
      <c r="I738" s="173">
        <v>89592.114709699614</v>
      </c>
      <c r="J738" s="168">
        <f>IFERROR(MIN('MP Calculations'!$E$30/I738,1),"-")</f>
        <v>0.31014580161562261</v>
      </c>
      <c r="K738" s="12"/>
      <c r="L738" s="159">
        <v>23.282026999999999</v>
      </c>
      <c r="M738" s="187" t="s">
        <v>408</v>
      </c>
      <c r="N738" s="187">
        <v>833.55921999999998</v>
      </c>
      <c r="O738" s="186">
        <f t="shared" si="37"/>
        <v>19406.948266138937</v>
      </c>
      <c r="P738" s="186">
        <f t="shared" si="38"/>
        <v>6018.9835269145779</v>
      </c>
      <c r="Q738" s="215">
        <f>IF(P738="-",0,P738/(1+'General inputs'!$H$30)^'MP Calculations'!$C$40)</f>
        <v>13369.901933043229</v>
      </c>
    </row>
    <row r="739" spans="3:17" x14ac:dyDescent="0.25">
      <c r="C739" s="159"/>
      <c r="D739" s="165" t="s">
        <v>283</v>
      </c>
      <c r="E739" s="162">
        <v>34278</v>
      </c>
      <c r="F739" s="166" t="str">
        <f t="shared" si="36"/>
        <v>Date check - OK</v>
      </c>
      <c r="G739" s="68"/>
      <c r="H739" s="162" t="s">
        <v>279</v>
      </c>
      <c r="I739" s="173">
        <v>89592.114709699614</v>
      </c>
      <c r="J739" s="168">
        <f>IFERROR(MIN('MP Calculations'!$E$30/I739,1),"-")</f>
        <v>0.31014580161562261</v>
      </c>
      <c r="K739" s="12"/>
      <c r="L739" s="159">
        <v>3.9189829999999999</v>
      </c>
      <c r="M739" s="187" t="s">
        <v>408</v>
      </c>
      <c r="N739" s="187">
        <v>480.89954999999998</v>
      </c>
      <c r="O739" s="186">
        <f t="shared" si="37"/>
        <v>1884.6371611576499</v>
      </c>
      <c r="P739" s="186">
        <f t="shared" si="38"/>
        <v>584.51230310183064</v>
      </c>
      <c r="Q739" s="215">
        <f>IF(P739="-",0,P739/(1+'General inputs'!$H$30)^'MP Calculations'!$C$40)</f>
        <v>1298.3707525005868</v>
      </c>
    </row>
    <row r="740" spans="3:17" x14ac:dyDescent="0.25">
      <c r="C740" s="159"/>
      <c r="D740" s="165" t="s">
        <v>287</v>
      </c>
      <c r="E740" s="162">
        <v>34278</v>
      </c>
      <c r="F740" s="166" t="str">
        <f t="shared" si="36"/>
        <v>Date check - OK</v>
      </c>
      <c r="G740" s="68"/>
      <c r="H740" s="162" t="s">
        <v>279</v>
      </c>
      <c r="I740" s="173">
        <v>89592.114709699614</v>
      </c>
      <c r="J740" s="168">
        <f>IFERROR(MIN('MP Calculations'!$E$30/I740,1),"-")</f>
        <v>0.31014580161562261</v>
      </c>
      <c r="K740" s="12"/>
      <c r="L740" s="159">
        <v>37.796965999999998</v>
      </c>
      <c r="M740" s="187" t="s">
        <v>408</v>
      </c>
      <c r="N740" s="187">
        <v>833.55921999999998</v>
      </c>
      <c r="O740" s="186">
        <f t="shared" si="37"/>
        <v>31506.009497326519</v>
      </c>
      <c r="P740" s="186">
        <f t="shared" si="38"/>
        <v>9771.4565712577514</v>
      </c>
      <c r="Q740" s="215">
        <f>IF(P740="-",0,P740/(1+'General inputs'!$H$30)^'MP Calculations'!$C$40)</f>
        <v>21705.229050141093</v>
      </c>
    </row>
    <row r="741" spans="3:17" x14ac:dyDescent="0.25">
      <c r="C741" s="159"/>
      <c r="D741" s="165" t="s">
        <v>293</v>
      </c>
      <c r="E741" s="162">
        <v>34278</v>
      </c>
      <c r="F741" s="166" t="str">
        <f t="shared" si="36"/>
        <v>Date check - OK</v>
      </c>
      <c r="G741" s="68"/>
      <c r="H741" s="162" t="s">
        <v>279</v>
      </c>
      <c r="I741" s="173">
        <v>89592.114709699614</v>
      </c>
      <c r="J741" s="168">
        <f>IFERROR(MIN('MP Calculations'!$E$30/I741,1),"-")</f>
        <v>0.31014580161562261</v>
      </c>
      <c r="K741" s="12"/>
      <c r="L741" s="159">
        <v>6.4707489999999996</v>
      </c>
      <c r="M741" s="187" t="s">
        <v>408</v>
      </c>
      <c r="N741" s="187">
        <v>1009.889055</v>
      </c>
      <c r="O741" s="186">
        <f t="shared" si="37"/>
        <v>6534.7385927521946</v>
      </c>
      <c r="P741" s="186">
        <f t="shared" si="38"/>
        <v>2026.7217391976749</v>
      </c>
      <c r="Q741" s="215">
        <f>IF(P741="-",0,P741/(1+'General inputs'!$H$30)^'MP Calculations'!$C$40)</f>
        <v>4501.9347166298194</v>
      </c>
    </row>
    <row r="742" spans="3:17" x14ac:dyDescent="0.25">
      <c r="C742" s="159"/>
      <c r="D742" s="165" t="s">
        <v>306</v>
      </c>
      <c r="E742" s="162">
        <v>34278</v>
      </c>
      <c r="F742" s="166" t="str">
        <f t="shared" si="36"/>
        <v>Date check - OK</v>
      </c>
      <c r="G742" s="68"/>
      <c r="H742" s="162" t="s">
        <v>279</v>
      </c>
      <c r="I742" s="173">
        <v>89592.114709699614</v>
      </c>
      <c r="J742" s="168">
        <f>IFERROR(MIN('MP Calculations'!$E$30/I742,1),"-")</f>
        <v>0.31014580161562261</v>
      </c>
      <c r="K742" s="12"/>
      <c r="L742" s="159">
        <v>78.922397000000004</v>
      </c>
      <c r="M742" s="187" t="s">
        <v>408</v>
      </c>
      <c r="N742" s="187">
        <v>1362.548726</v>
      </c>
      <c r="O742" s="186">
        <f t="shared" si="37"/>
        <v>107535.61148521623</v>
      </c>
      <c r="P742" s="186">
        <f t="shared" si="38"/>
        <v>33351.718426308544</v>
      </c>
      <c r="Q742" s="215">
        <f>IF(P742="-",0,P742/(1+'General inputs'!$H$30)^'MP Calculations'!$C$40)</f>
        <v>74083.805457230745</v>
      </c>
    </row>
    <row r="743" spans="3:17" x14ac:dyDescent="0.25">
      <c r="C743" s="159"/>
      <c r="D743" s="165" t="s">
        <v>287</v>
      </c>
      <c r="E743" s="162">
        <v>34278</v>
      </c>
      <c r="F743" s="166" t="str">
        <f t="shared" si="36"/>
        <v>Date check - OK</v>
      </c>
      <c r="G743" s="68"/>
      <c r="H743" s="162" t="s">
        <v>279</v>
      </c>
      <c r="I743" s="173">
        <v>89592.114709699614</v>
      </c>
      <c r="J743" s="168">
        <f>IFERROR(MIN('MP Calculations'!$E$30/I743,1),"-")</f>
        <v>0.31014580161562261</v>
      </c>
      <c r="K743" s="12"/>
      <c r="L743" s="159">
        <v>4.5482870000000002</v>
      </c>
      <c r="M743" s="187" t="s">
        <v>408</v>
      </c>
      <c r="N743" s="187">
        <v>833.55921999999998</v>
      </c>
      <c r="O743" s="186">
        <f t="shared" si="37"/>
        <v>3791.2665640561399</v>
      </c>
      <c r="P743" s="186">
        <f t="shared" si="38"/>
        <v>1175.8454076476987</v>
      </c>
      <c r="Q743" s="215">
        <f>IF(P743="-",0,P743/(1+'General inputs'!$H$30)^'MP Calculations'!$C$40)</f>
        <v>2611.8924762579909</v>
      </c>
    </row>
    <row r="744" spans="3:17" x14ac:dyDescent="0.25">
      <c r="C744" s="159"/>
      <c r="D744" s="165" t="s">
        <v>287</v>
      </c>
      <c r="E744" s="162">
        <v>34278</v>
      </c>
      <c r="F744" s="166" t="str">
        <f t="shared" si="36"/>
        <v>Date check - OK</v>
      </c>
      <c r="G744" s="68"/>
      <c r="H744" s="162" t="s">
        <v>279</v>
      </c>
      <c r="I744" s="173">
        <v>89592.114709699614</v>
      </c>
      <c r="J744" s="168">
        <f>IFERROR(MIN('MP Calculations'!$E$30/I744,1),"-")</f>
        <v>0.31014580161562261</v>
      </c>
      <c r="K744" s="12"/>
      <c r="L744" s="159">
        <v>37.765003</v>
      </c>
      <c r="M744" s="187" t="s">
        <v>408</v>
      </c>
      <c r="N744" s="187">
        <v>833.55921999999998</v>
      </c>
      <c r="O744" s="186">
        <f t="shared" si="37"/>
        <v>31479.366443977658</v>
      </c>
      <c r="P744" s="186">
        <f t="shared" si="38"/>
        <v>9763.1933401193819</v>
      </c>
      <c r="Q744" s="215">
        <f>IF(P744="-",0,P744/(1+'General inputs'!$H$30)^'MP Calculations'!$C$40)</f>
        <v>21686.874025662946</v>
      </c>
    </row>
    <row r="745" spans="3:17" x14ac:dyDescent="0.25">
      <c r="C745" s="159"/>
      <c r="D745" s="165" t="s">
        <v>287</v>
      </c>
      <c r="E745" s="162">
        <v>34278</v>
      </c>
      <c r="F745" s="166" t="str">
        <f t="shared" si="36"/>
        <v>Date check - OK</v>
      </c>
      <c r="G745" s="68"/>
      <c r="H745" s="162" t="s">
        <v>279</v>
      </c>
      <c r="I745" s="173">
        <v>89592.114709699614</v>
      </c>
      <c r="J745" s="168">
        <f>IFERROR(MIN('MP Calculations'!$E$30/I745,1),"-")</f>
        <v>0.31014580161562261</v>
      </c>
      <c r="K745" s="12"/>
      <c r="L745" s="159">
        <v>83.496279000000001</v>
      </c>
      <c r="M745" s="187" t="s">
        <v>408</v>
      </c>
      <c r="N745" s="187">
        <v>833.55921999999998</v>
      </c>
      <c r="O745" s="186">
        <f t="shared" si="37"/>
        <v>69599.093196142378</v>
      </c>
      <c r="P745" s="186">
        <f t="shared" si="38"/>
        <v>21585.866551038001</v>
      </c>
      <c r="Q745" s="215">
        <f>IF(P745="-",0,P745/(1+'General inputs'!$H$30)^'MP Calculations'!$C$40)</f>
        <v>47948.448045525285</v>
      </c>
    </row>
    <row r="746" spans="3:17" x14ac:dyDescent="0.25">
      <c r="C746" s="159"/>
      <c r="D746" s="165" t="s">
        <v>283</v>
      </c>
      <c r="E746" s="162">
        <v>34278</v>
      </c>
      <c r="F746" s="166" t="str">
        <f t="shared" si="36"/>
        <v>Date check - OK</v>
      </c>
      <c r="G746" s="68"/>
      <c r="H746" s="162" t="s">
        <v>279</v>
      </c>
      <c r="I746" s="173">
        <v>89592.114709699614</v>
      </c>
      <c r="J746" s="168">
        <f>IFERROR(MIN('MP Calculations'!$E$30/I746,1),"-")</f>
        <v>0.31014580161562261</v>
      </c>
      <c r="K746" s="12"/>
      <c r="L746" s="159">
        <v>56.747340000000001</v>
      </c>
      <c r="M746" s="187" t="s">
        <v>408</v>
      </c>
      <c r="N746" s="187">
        <v>480.89954999999998</v>
      </c>
      <c r="O746" s="186">
        <f t="shared" si="37"/>
        <v>27289.770269697001</v>
      </c>
      <c r="P746" s="186">
        <f t="shared" si="38"/>
        <v>8463.8076762013625</v>
      </c>
      <c r="Q746" s="215">
        <f>IF(P746="-",0,P746/(1+'General inputs'!$H$30)^'MP Calculations'!$C$40)</f>
        <v>18800.562936406375</v>
      </c>
    </row>
    <row r="747" spans="3:17" x14ac:dyDescent="0.25">
      <c r="C747" s="159"/>
      <c r="D747" s="165" t="s">
        <v>287</v>
      </c>
      <c r="E747" s="162">
        <v>34278</v>
      </c>
      <c r="F747" s="166" t="str">
        <f t="shared" si="36"/>
        <v>Date check - OK</v>
      </c>
      <c r="G747" s="68"/>
      <c r="H747" s="162" t="s">
        <v>279</v>
      </c>
      <c r="I747" s="173">
        <v>89592.114709699614</v>
      </c>
      <c r="J747" s="168">
        <f>IFERROR(MIN('MP Calculations'!$E$30/I747,1),"-")</f>
        <v>0.31014580161562261</v>
      </c>
      <c r="K747" s="12"/>
      <c r="L747" s="159">
        <v>3.695144</v>
      </c>
      <c r="M747" s="187" t="s">
        <v>408</v>
      </c>
      <c r="N747" s="187">
        <v>833.55921999999998</v>
      </c>
      <c r="O747" s="186">
        <f t="shared" si="37"/>
        <v>3080.1213504276798</v>
      </c>
      <c r="P747" s="186">
        <f t="shared" si="38"/>
        <v>955.28670530178681</v>
      </c>
      <c r="Q747" s="215">
        <f>IF(P747="-",0,P747/(1+'General inputs'!$H$30)^'MP Calculations'!$C$40)</f>
        <v>2121.9678556541962</v>
      </c>
    </row>
    <row r="748" spans="3:17" x14ac:dyDescent="0.25">
      <c r="C748" s="159"/>
      <c r="D748" s="165" t="s">
        <v>287</v>
      </c>
      <c r="E748" s="162">
        <v>34278</v>
      </c>
      <c r="F748" s="166" t="str">
        <f t="shared" si="36"/>
        <v>Date check - OK</v>
      </c>
      <c r="G748" s="68"/>
      <c r="H748" s="162" t="s">
        <v>279</v>
      </c>
      <c r="I748" s="173">
        <v>89592.114709699614</v>
      </c>
      <c r="J748" s="168">
        <f>IFERROR(MIN('MP Calculations'!$E$30/I748,1),"-")</f>
        <v>0.31014580161562261</v>
      </c>
      <c r="K748" s="12"/>
      <c r="L748" s="159">
        <v>62.569009000000001</v>
      </c>
      <c r="M748" s="187" t="s">
        <v>408</v>
      </c>
      <c r="N748" s="187">
        <v>833.55921999999998</v>
      </c>
      <c r="O748" s="186">
        <f t="shared" si="37"/>
        <v>52154.974338212982</v>
      </c>
      <c r="P748" s="186">
        <f t="shared" si="38"/>
        <v>16175.646324367292</v>
      </c>
      <c r="Q748" s="215">
        <f>IF(P748="-",0,P748/(1+'General inputs'!$H$30)^'MP Calculations'!$C$40)</f>
        <v>35930.785338308364</v>
      </c>
    </row>
    <row r="749" spans="3:17" x14ac:dyDescent="0.25">
      <c r="C749" s="159"/>
      <c r="D749" s="165" t="s">
        <v>293</v>
      </c>
      <c r="E749" s="162">
        <v>34278</v>
      </c>
      <c r="F749" s="166" t="str">
        <f t="shared" si="36"/>
        <v>Date check - OK</v>
      </c>
      <c r="G749" s="68"/>
      <c r="H749" s="162" t="s">
        <v>279</v>
      </c>
      <c r="I749" s="173">
        <v>89592.114709699614</v>
      </c>
      <c r="J749" s="168">
        <f>IFERROR(MIN('MP Calculations'!$E$30/I749,1),"-")</f>
        <v>0.31014580161562261</v>
      </c>
      <c r="K749" s="12"/>
      <c r="L749" s="159">
        <v>64.640857999999994</v>
      </c>
      <c r="M749" s="187" t="s">
        <v>408</v>
      </c>
      <c r="N749" s="187">
        <v>1009.889055</v>
      </c>
      <c r="O749" s="186">
        <f t="shared" si="37"/>
        <v>65280.095000009183</v>
      </c>
      <c r="P749" s="186">
        <f t="shared" si="38"/>
        <v>20246.347393321845</v>
      </c>
      <c r="Q749" s="215">
        <f>IF(P749="-",0,P749/(1+'General inputs'!$H$30)^'MP Calculations'!$C$40)</f>
        <v>44972.98886773979</v>
      </c>
    </row>
    <row r="750" spans="3:17" x14ac:dyDescent="0.25">
      <c r="C750" s="159"/>
      <c r="D750" s="165" t="s">
        <v>283</v>
      </c>
      <c r="E750" s="162">
        <v>34278</v>
      </c>
      <c r="F750" s="166" t="str">
        <f t="shared" si="36"/>
        <v>Date check - OK</v>
      </c>
      <c r="G750" s="68"/>
      <c r="H750" s="162" t="s">
        <v>279</v>
      </c>
      <c r="I750" s="173">
        <v>89592.114709699614</v>
      </c>
      <c r="J750" s="168">
        <f>IFERROR(MIN('MP Calculations'!$E$30/I750,1),"-")</f>
        <v>0.31014580161562261</v>
      </c>
      <c r="K750" s="12"/>
      <c r="L750" s="159">
        <v>100.818622</v>
      </c>
      <c r="M750" s="187" t="s">
        <v>408</v>
      </c>
      <c r="N750" s="187">
        <v>480.89954999999998</v>
      </c>
      <c r="O750" s="186">
        <f t="shared" si="37"/>
        <v>48483.629951420102</v>
      </c>
      <c r="P750" s="186">
        <f t="shared" si="38"/>
        <v>15036.994276518397</v>
      </c>
      <c r="Q750" s="215">
        <f>IF(P750="-",0,P750/(1+'General inputs'!$H$30)^'MP Calculations'!$C$40)</f>
        <v>33401.51006325167</v>
      </c>
    </row>
    <row r="751" spans="3:17" x14ac:dyDescent="0.25">
      <c r="C751" s="159"/>
      <c r="D751" s="165" t="s">
        <v>287</v>
      </c>
      <c r="E751" s="162">
        <v>34278</v>
      </c>
      <c r="F751" s="166" t="str">
        <f t="shared" si="36"/>
        <v>Date check - OK</v>
      </c>
      <c r="G751" s="68"/>
      <c r="H751" s="162" t="s">
        <v>279</v>
      </c>
      <c r="I751" s="173">
        <v>89592.114709699614</v>
      </c>
      <c r="J751" s="168">
        <f>IFERROR(MIN('MP Calculations'!$E$30/I751,1),"-")</f>
        <v>0.31014580161562261</v>
      </c>
      <c r="K751" s="12"/>
      <c r="L751" s="159">
        <v>29.488683999999999</v>
      </c>
      <c r="M751" s="187" t="s">
        <v>408</v>
      </c>
      <c r="N751" s="187">
        <v>833.55921999999998</v>
      </c>
      <c r="O751" s="186">
        <f t="shared" si="37"/>
        <v>24580.564433866479</v>
      </c>
      <c r="P751" s="186">
        <f t="shared" si="38"/>
        <v>7623.558860505982</v>
      </c>
      <c r="Q751" s="215">
        <f>IF(P751="-",0,P751/(1+'General inputs'!$H$30)^'MP Calculations'!$C$40)</f>
        <v>16934.127480158881</v>
      </c>
    </row>
    <row r="752" spans="3:17" x14ac:dyDescent="0.25">
      <c r="C752" s="159"/>
      <c r="D752" s="165" t="s">
        <v>287</v>
      </c>
      <c r="E752" s="162">
        <v>34278</v>
      </c>
      <c r="F752" s="166" t="str">
        <f t="shared" si="36"/>
        <v>Date check - OK</v>
      </c>
      <c r="G752" s="68"/>
      <c r="H752" s="162" t="s">
        <v>279</v>
      </c>
      <c r="I752" s="173">
        <v>89592.114709699614</v>
      </c>
      <c r="J752" s="168">
        <f>IFERROR(MIN('MP Calculations'!$E$30/I752,1),"-")</f>
        <v>0.31014580161562261</v>
      </c>
      <c r="K752" s="12"/>
      <c r="L752" s="159">
        <v>81.316141000000002</v>
      </c>
      <c r="M752" s="187" t="s">
        <v>408</v>
      </c>
      <c r="N752" s="187">
        <v>833.55921999999998</v>
      </c>
      <c r="O752" s="186">
        <f t="shared" si="37"/>
        <v>67781.819065370015</v>
      </c>
      <c r="P752" s="186">
        <f t="shared" si="38"/>
        <v>21022.246608994275</v>
      </c>
      <c r="Q752" s="215">
        <f>IF(P752="-",0,P752/(1+'General inputs'!$H$30)^'MP Calculations'!$C$40)</f>
        <v>46696.485264943469</v>
      </c>
    </row>
    <row r="753" spans="3:17" x14ac:dyDescent="0.25">
      <c r="C753" s="159"/>
      <c r="D753" s="165" t="s">
        <v>306</v>
      </c>
      <c r="E753" s="162">
        <v>34278</v>
      </c>
      <c r="F753" s="166" t="str">
        <f t="shared" si="36"/>
        <v>Date check - OK</v>
      </c>
      <c r="G753" s="68"/>
      <c r="H753" s="162" t="s">
        <v>279</v>
      </c>
      <c r="I753" s="173">
        <v>89592.114709699614</v>
      </c>
      <c r="J753" s="168">
        <f>IFERROR(MIN('MP Calculations'!$E$30/I753,1),"-")</f>
        <v>0.31014580161562261</v>
      </c>
      <c r="K753" s="12"/>
      <c r="L753" s="159">
        <v>23.756504</v>
      </c>
      <c r="M753" s="187" t="s">
        <v>408</v>
      </c>
      <c r="N753" s="187">
        <v>1362.548726</v>
      </c>
      <c r="O753" s="186">
        <f t="shared" si="37"/>
        <v>32369.394259413904</v>
      </c>
      <c r="P753" s="186">
        <f t="shared" si="38"/>
        <v>10039.231730398058</v>
      </c>
      <c r="Q753" s="215">
        <f>IF(P753="-",0,P753/(1+'General inputs'!$H$30)^'MP Calculations'!$C$40)</f>
        <v>22300.035067104254</v>
      </c>
    </row>
    <row r="754" spans="3:17" x14ac:dyDescent="0.25">
      <c r="C754" s="159"/>
      <c r="D754" s="165" t="s">
        <v>287</v>
      </c>
      <c r="E754" s="162">
        <v>34278</v>
      </c>
      <c r="F754" s="166" t="str">
        <f t="shared" si="36"/>
        <v>Date check - OK</v>
      </c>
      <c r="G754" s="68"/>
      <c r="H754" s="162" t="s">
        <v>279</v>
      </c>
      <c r="I754" s="173">
        <v>89592.114709699614</v>
      </c>
      <c r="J754" s="168">
        <f>IFERROR(MIN('MP Calculations'!$E$30/I754,1),"-")</f>
        <v>0.31014580161562261</v>
      </c>
      <c r="K754" s="12"/>
      <c r="L754" s="159">
        <v>29.936001000000001</v>
      </c>
      <c r="M754" s="187" t="s">
        <v>408</v>
      </c>
      <c r="N754" s="187">
        <v>833.55921999999998</v>
      </c>
      <c r="O754" s="186">
        <f t="shared" si="37"/>
        <v>24953.42964347922</v>
      </c>
      <c r="P754" s="186">
        <f t="shared" si="38"/>
        <v>7739.2014398359024</v>
      </c>
      <c r="Q754" s="215">
        <f>IF(P754="-",0,P754/(1+'General inputs'!$H$30)^'MP Calculations'!$C$40)</f>
        <v>17191.003070200208</v>
      </c>
    </row>
    <row r="755" spans="3:17" x14ac:dyDescent="0.25">
      <c r="C755" s="159"/>
      <c r="D755" s="165" t="s">
        <v>287</v>
      </c>
      <c r="E755" s="162">
        <v>34278</v>
      </c>
      <c r="F755" s="166" t="str">
        <f t="shared" si="36"/>
        <v>Date check - OK</v>
      </c>
      <c r="G755" s="68"/>
      <c r="H755" s="162" t="s">
        <v>279</v>
      </c>
      <c r="I755" s="173">
        <v>89592.114709699614</v>
      </c>
      <c r="J755" s="168">
        <f>IFERROR(MIN('MP Calculations'!$E$30/I755,1),"-")</f>
        <v>0.31014580161562261</v>
      </c>
      <c r="K755" s="12"/>
      <c r="L755" s="159">
        <v>24.945029000000002</v>
      </c>
      <c r="M755" s="187" t="s">
        <v>408</v>
      </c>
      <c r="N755" s="187">
        <v>833.55921999999998</v>
      </c>
      <c r="O755" s="186">
        <f t="shared" si="37"/>
        <v>20793.15891611738</v>
      </c>
      <c r="P755" s="186">
        <f t="shared" si="38"/>
        <v>6448.9109401602554</v>
      </c>
      <c r="Q755" s="215">
        <f>IF(P755="-",0,P755/(1+'General inputs'!$H$30)^'MP Calculations'!$C$40)</f>
        <v>14324.89496927907</v>
      </c>
    </row>
    <row r="756" spans="3:17" x14ac:dyDescent="0.25">
      <c r="C756" s="159"/>
      <c r="D756" s="165" t="s">
        <v>287</v>
      </c>
      <c r="E756" s="162">
        <v>34278</v>
      </c>
      <c r="F756" s="166" t="str">
        <f t="shared" si="36"/>
        <v>Date check - OK</v>
      </c>
      <c r="G756" s="68"/>
      <c r="H756" s="162" t="s">
        <v>279</v>
      </c>
      <c r="I756" s="173">
        <v>89592.114709699614</v>
      </c>
      <c r="J756" s="168">
        <f>IFERROR(MIN('MP Calculations'!$E$30/I756,1),"-")</f>
        <v>0.31014580161562261</v>
      </c>
      <c r="K756" s="12"/>
      <c r="L756" s="159">
        <v>94.318472999999997</v>
      </c>
      <c r="M756" s="187" t="s">
        <v>408</v>
      </c>
      <c r="N756" s="187">
        <v>833.55921999999998</v>
      </c>
      <c r="O756" s="186">
        <f t="shared" si="37"/>
        <v>78620.032785471063</v>
      </c>
      <c r="P756" s="186">
        <f t="shared" si="38"/>
        <v>24383.673091296452</v>
      </c>
      <c r="Q756" s="215">
        <f>IF(P756="-",0,P756/(1+'General inputs'!$H$30)^'MP Calculations'!$C$40)</f>
        <v>54163.184953113654</v>
      </c>
    </row>
    <row r="757" spans="3:17" x14ac:dyDescent="0.25">
      <c r="C757" s="159"/>
      <c r="D757" s="165" t="s">
        <v>294</v>
      </c>
      <c r="E757" s="162">
        <v>34278</v>
      </c>
      <c r="F757" s="166" t="str">
        <f t="shared" si="36"/>
        <v>Date check - OK</v>
      </c>
      <c r="G757" s="68"/>
      <c r="H757" s="162" t="s">
        <v>279</v>
      </c>
      <c r="I757" s="173">
        <v>89592.114709699614</v>
      </c>
      <c r="J757" s="168">
        <f>IFERROR(MIN('MP Calculations'!$E$30/I757,1),"-")</f>
        <v>0.31014580161562261</v>
      </c>
      <c r="K757" s="12"/>
      <c r="L757" s="159">
        <v>32.525041999999999</v>
      </c>
      <c r="M757" s="187" t="s">
        <v>408</v>
      </c>
      <c r="N757" s="187">
        <v>1186.218891</v>
      </c>
      <c r="O757" s="186">
        <f t="shared" si="37"/>
        <v>38581.819250968423</v>
      </c>
      <c r="P757" s="186">
        <f t="shared" si="38"/>
        <v>11965.989259380662</v>
      </c>
      <c r="Q757" s="215">
        <f>IF(P757="-",0,P757/(1+'General inputs'!$H$30)^'MP Calculations'!$C$40)</f>
        <v>26579.92038263283</v>
      </c>
    </row>
    <row r="758" spans="3:17" x14ac:dyDescent="0.25">
      <c r="C758" s="159"/>
      <c r="D758" s="165" t="s">
        <v>287</v>
      </c>
      <c r="E758" s="162">
        <v>34278</v>
      </c>
      <c r="F758" s="166" t="str">
        <f t="shared" si="36"/>
        <v>Date check - OK</v>
      </c>
      <c r="G758" s="68"/>
      <c r="H758" s="162" t="s">
        <v>279</v>
      </c>
      <c r="I758" s="173">
        <v>89592.114709699614</v>
      </c>
      <c r="J758" s="168">
        <f>IFERROR(MIN('MP Calculations'!$E$30/I758,1),"-")</f>
        <v>0.31014580161562261</v>
      </c>
      <c r="K758" s="12"/>
      <c r="L758" s="159">
        <v>5.3865639999999999</v>
      </c>
      <c r="M758" s="187" t="s">
        <v>408</v>
      </c>
      <c r="N758" s="187">
        <v>833.55921999999998</v>
      </c>
      <c r="O758" s="186">
        <f t="shared" si="37"/>
        <v>4490.0200863200798</v>
      </c>
      <c r="P758" s="186">
        <f t="shared" si="38"/>
        <v>1392.5608789419882</v>
      </c>
      <c r="Q758" s="215">
        <f>IF(P758="-",0,P758/(1+'General inputs'!$H$30)^'MP Calculations'!$C$40)</f>
        <v>3093.2801699809506</v>
      </c>
    </row>
    <row r="759" spans="3:17" x14ac:dyDescent="0.25">
      <c r="C759" s="159"/>
      <c r="D759" s="165" t="s">
        <v>306</v>
      </c>
      <c r="E759" s="162">
        <v>34278</v>
      </c>
      <c r="F759" s="166" t="str">
        <f t="shared" si="36"/>
        <v>Date check - OK</v>
      </c>
      <c r="G759" s="68"/>
      <c r="H759" s="162" t="s">
        <v>279</v>
      </c>
      <c r="I759" s="173">
        <v>89592.114709699614</v>
      </c>
      <c r="J759" s="168">
        <f>IFERROR(MIN('MP Calculations'!$E$30/I759,1),"-")</f>
        <v>0.31014580161562261</v>
      </c>
      <c r="K759" s="12"/>
      <c r="L759" s="159">
        <v>7.0880140000000003</v>
      </c>
      <c r="M759" s="187" t="s">
        <v>408</v>
      </c>
      <c r="N759" s="187">
        <v>1362.548726</v>
      </c>
      <c r="O759" s="186">
        <f t="shared" si="37"/>
        <v>9657.7644455701648</v>
      </c>
      <c r="P759" s="186">
        <f t="shared" si="38"/>
        <v>2995.3150957862176</v>
      </c>
      <c r="Q759" s="215">
        <f>IF(P759="-",0,P759/(1+'General inputs'!$H$30)^'MP Calculations'!$C$40)</f>
        <v>6653.4604904882426</v>
      </c>
    </row>
    <row r="760" spans="3:17" x14ac:dyDescent="0.25">
      <c r="C760" s="159"/>
      <c r="D760" s="165" t="s">
        <v>306</v>
      </c>
      <c r="E760" s="162">
        <v>34278</v>
      </c>
      <c r="F760" s="166" t="str">
        <f t="shared" si="36"/>
        <v>Date check - OK</v>
      </c>
      <c r="G760" s="68"/>
      <c r="H760" s="162" t="s">
        <v>279</v>
      </c>
      <c r="I760" s="173">
        <v>89592.114709699614</v>
      </c>
      <c r="J760" s="168">
        <f>IFERROR(MIN('MP Calculations'!$E$30/I760,1),"-")</f>
        <v>0.31014580161562261</v>
      </c>
      <c r="K760" s="12"/>
      <c r="L760" s="159">
        <v>38.073447999999999</v>
      </c>
      <c r="M760" s="187" t="s">
        <v>408</v>
      </c>
      <c r="N760" s="187">
        <v>1362.548726</v>
      </c>
      <c r="O760" s="186">
        <f t="shared" si="37"/>
        <v>51876.928066827248</v>
      </c>
      <c r="P760" s="186">
        <f t="shared" si="38"/>
        <v>16089.411440642129</v>
      </c>
      <c r="Q760" s="215">
        <f>IF(P760="-",0,P760/(1+'General inputs'!$H$30)^'MP Calculations'!$C$40)</f>
        <v>35739.232739193038</v>
      </c>
    </row>
    <row r="761" spans="3:17" x14ac:dyDescent="0.25">
      <c r="C761" s="159"/>
      <c r="D761" s="165" t="s">
        <v>283</v>
      </c>
      <c r="E761" s="162">
        <v>34278</v>
      </c>
      <c r="F761" s="166" t="str">
        <f t="shared" si="36"/>
        <v>Date check - OK</v>
      </c>
      <c r="G761" s="68"/>
      <c r="H761" s="162" t="s">
        <v>279</v>
      </c>
      <c r="I761" s="173">
        <v>89592.114709699614</v>
      </c>
      <c r="J761" s="168">
        <f>IFERROR(MIN('MP Calculations'!$E$30/I761,1),"-")</f>
        <v>0.31014580161562261</v>
      </c>
      <c r="K761" s="12"/>
      <c r="L761" s="159">
        <v>113.06899</v>
      </c>
      <c r="M761" s="187" t="s">
        <v>408</v>
      </c>
      <c r="N761" s="187">
        <v>480.89954999999998</v>
      </c>
      <c r="O761" s="186">
        <f t="shared" si="37"/>
        <v>54374.826409954498</v>
      </c>
      <c r="P761" s="186">
        <f t="shared" si="38"/>
        <v>16864.124124625665</v>
      </c>
      <c r="Q761" s="215">
        <f>IF(P761="-",0,P761/(1+'General inputs'!$H$30)^'MP Calculations'!$C$40)</f>
        <v>37460.093506601414</v>
      </c>
    </row>
    <row r="762" spans="3:17" x14ac:dyDescent="0.25">
      <c r="C762" s="159"/>
      <c r="D762" s="165" t="s">
        <v>306</v>
      </c>
      <c r="E762" s="162">
        <v>34278</v>
      </c>
      <c r="F762" s="166" t="str">
        <f t="shared" si="36"/>
        <v>Date check - OK</v>
      </c>
      <c r="G762" s="68"/>
      <c r="H762" s="162" t="s">
        <v>279</v>
      </c>
      <c r="I762" s="173">
        <v>89592.114709699614</v>
      </c>
      <c r="J762" s="168">
        <f>IFERROR(MIN('MP Calculations'!$E$30/I762,1),"-")</f>
        <v>0.31014580161562261</v>
      </c>
      <c r="K762" s="12"/>
      <c r="L762" s="159">
        <v>41.398021</v>
      </c>
      <c r="M762" s="187" t="s">
        <v>408</v>
      </c>
      <c r="N762" s="187">
        <v>1362.548726</v>
      </c>
      <c r="O762" s="186">
        <f t="shared" si="37"/>
        <v>56406.820772471248</v>
      </c>
      <c r="P762" s="186">
        <f t="shared" si="38"/>
        <v>17494.338645066848</v>
      </c>
      <c r="Q762" s="215">
        <f>IF(P762="-",0,P762/(1+'General inputs'!$H$30)^'MP Calculations'!$C$40)</f>
        <v>38859.982092008082</v>
      </c>
    </row>
    <row r="763" spans="3:17" x14ac:dyDescent="0.25">
      <c r="C763" s="159"/>
      <c r="D763" s="165" t="s">
        <v>293</v>
      </c>
      <c r="E763" s="162">
        <v>34278</v>
      </c>
      <c r="F763" s="166" t="str">
        <f t="shared" si="36"/>
        <v>Date check - OK</v>
      </c>
      <c r="G763" s="68"/>
      <c r="H763" s="162" t="s">
        <v>279</v>
      </c>
      <c r="I763" s="173">
        <v>89592.114709699614</v>
      </c>
      <c r="J763" s="168">
        <f>IFERROR(MIN('MP Calculations'!$E$30/I763,1),"-")</f>
        <v>0.31014580161562261</v>
      </c>
      <c r="K763" s="12"/>
      <c r="L763" s="159">
        <v>342.15846099999999</v>
      </c>
      <c r="M763" s="187" t="s">
        <v>408</v>
      </c>
      <c r="N763" s="187">
        <v>1009.889055</v>
      </c>
      <c r="O763" s="186">
        <f t="shared" si="37"/>
        <v>345542.08483954432</v>
      </c>
      <c r="P763" s="186">
        <f t="shared" si="38"/>
        <v>107168.42689449395</v>
      </c>
      <c r="Q763" s="215">
        <f>IF(P763="-",0,P763/(1+'General inputs'!$H$30)^'MP Calculations'!$C$40)</f>
        <v>238052.0484049884</v>
      </c>
    </row>
    <row r="764" spans="3:17" x14ac:dyDescent="0.25">
      <c r="C764" s="159"/>
      <c r="D764" s="165" t="s">
        <v>287</v>
      </c>
      <c r="E764" s="162">
        <v>34278</v>
      </c>
      <c r="F764" s="166" t="str">
        <f t="shared" si="36"/>
        <v>Date check - OK</v>
      </c>
      <c r="G764" s="68"/>
      <c r="H764" s="162" t="s">
        <v>279</v>
      </c>
      <c r="I764" s="173">
        <v>89592.114709699614</v>
      </c>
      <c r="J764" s="168">
        <f>IFERROR(MIN('MP Calculations'!$E$30/I764,1),"-")</f>
        <v>0.31014580161562261</v>
      </c>
      <c r="K764" s="12"/>
      <c r="L764" s="159">
        <v>4.8318529999999997</v>
      </c>
      <c r="M764" s="187" t="s">
        <v>408</v>
      </c>
      <c r="N764" s="187">
        <v>833.55921999999998</v>
      </c>
      <c r="O764" s="186">
        <f t="shared" si="37"/>
        <v>4027.6356178346596</v>
      </c>
      <c r="P764" s="186">
        <f t="shared" si="38"/>
        <v>1249.1542773089639</v>
      </c>
      <c r="Q764" s="215">
        <f>IF(P764="-",0,P764/(1+'General inputs'!$H$30)^'MP Calculations'!$C$40)</f>
        <v>2774.7326624473344</v>
      </c>
    </row>
    <row r="765" spans="3:17" x14ac:dyDescent="0.25">
      <c r="C765" s="159"/>
      <c r="D765" s="165" t="s">
        <v>318</v>
      </c>
      <c r="E765" s="162">
        <v>34278</v>
      </c>
      <c r="F765" s="166" t="str">
        <f t="shared" si="36"/>
        <v>Date check - OK</v>
      </c>
      <c r="G765" s="68"/>
      <c r="H765" s="162" t="s">
        <v>279</v>
      </c>
      <c r="I765" s="173">
        <v>89592.114709699614</v>
      </c>
      <c r="J765" s="168">
        <f>IFERROR(MIN('MP Calculations'!$E$30/I765,1),"-")</f>
        <v>0.31014580161562261</v>
      </c>
      <c r="K765" s="12"/>
      <c r="L765" s="159">
        <v>10.000017</v>
      </c>
      <c r="M765" s="187" t="s">
        <v>408</v>
      </c>
      <c r="N765" s="187">
        <v>1186.218891</v>
      </c>
      <c r="O765" s="186">
        <f t="shared" si="37"/>
        <v>11862.209075721146</v>
      </c>
      <c r="P765" s="186">
        <f t="shared" si="38"/>
        <v>3679.0143427216485</v>
      </c>
      <c r="Q765" s="215">
        <f>IF(P765="-",0,P765/(1+'General inputs'!$H$30)^'MP Calculations'!$C$40)</f>
        <v>8172.1541108225101</v>
      </c>
    </row>
    <row r="766" spans="3:17" x14ac:dyDescent="0.25">
      <c r="C766" s="159"/>
      <c r="D766" s="165" t="s">
        <v>287</v>
      </c>
      <c r="E766" s="162">
        <v>34278</v>
      </c>
      <c r="F766" s="166" t="str">
        <f t="shared" si="36"/>
        <v>Date check - OK</v>
      </c>
      <c r="G766" s="68"/>
      <c r="H766" s="162" t="s">
        <v>279</v>
      </c>
      <c r="I766" s="173">
        <v>89592.114709699614</v>
      </c>
      <c r="J766" s="168">
        <f>IFERROR(MIN('MP Calculations'!$E$30/I766,1),"-")</f>
        <v>0.31014580161562261</v>
      </c>
      <c r="K766" s="12"/>
      <c r="L766" s="159">
        <v>12.000045</v>
      </c>
      <c r="M766" s="187" t="s">
        <v>408</v>
      </c>
      <c r="N766" s="187">
        <v>833.55921999999998</v>
      </c>
      <c r="O766" s="186">
        <f t="shared" si="37"/>
        <v>10002.7481501649</v>
      </c>
      <c r="P766" s="186">
        <f t="shared" si="38"/>
        <v>3102.3103433920792</v>
      </c>
      <c r="Q766" s="215">
        <f>IF(P766="-",0,P766/(1+'General inputs'!$H$30)^'MP Calculations'!$C$40)</f>
        <v>6891.1278576433997</v>
      </c>
    </row>
    <row r="767" spans="3:17" x14ac:dyDescent="0.25">
      <c r="C767" s="159"/>
      <c r="D767" s="165" t="s">
        <v>287</v>
      </c>
      <c r="E767" s="162">
        <v>34278</v>
      </c>
      <c r="F767" s="166" t="str">
        <f t="shared" si="36"/>
        <v>Date check - OK</v>
      </c>
      <c r="G767" s="68"/>
      <c r="H767" s="162" t="s">
        <v>279</v>
      </c>
      <c r="I767" s="173">
        <v>89592.114709699614</v>
      </c>
      <c r="J767" s="168">
        <f>IFERROR(MIN('MP Calculations'!$E$30/I767,1),"-")</f>
        <v>0.31014580161562261</v>
      </c>
      <c r="K767" s="12"/>
      <c r="L767" s="159">
        <v>5.8083470000000004</v>
      </c>
      <c r="M767" s="187" t="s">
        <v>408</v>
      </c>
      <c r="N767" s="187">
        <v>833.55921999999998</v>
      </c>
      <c r="O767" s="186">
        <f t="shared" si="37"/>
        <v>4841.6011948093401</v>
      </c>
      <c r="P767" s="186">
        <f t="shared" si="38"/>
        <v>1501.6022836672989</v>
      </c>
      <c r="Q767" s="215">
        <f>IF(P767="-",0,P767/(1+'General inputs'!$H$30)^'MP Calculations'!$C$40)</f>
        <v>3335.492643449209</v>
      </c>
    </row>
    <row r="768" spans="3:17" x14ac:dyDescent="0.25">
      <c r="C768" s="159"/>
      <c r="D768" s="165" t="s">
        <v>287</v>
      </c>
      <c r="E768" s="162">
        <v>34278</v>
      </c>
      <c r="F768" s="166" t="str">
        <f t="shared" si="36"/>
        <v>Date check - OK</v>
      </c>
      <c r="G768" s="68"/>
      <c r="H768" s="162" t="s">
        <v>279</v>
      </c>
      <c r="I768" s="173">
        <v>89592.114709699614</v>
      </c>
      <c r="J768" s="168">
        <f>IFERROR(MIN('MP Calculations'!$E$30/I768,1),"-")</f>
        <v>0.31014580161562261</v>
      </c>
      <c r="K768" s="12"/>
      <c r="L768" s="159">
        <v>9.0000169999999997</v>
      </c>
      <c r="M768" s="187" t="s">
        <v>408</v>
      </c>
      <c r="N768" s="187">
        <v>833.55921999999998</v>
      </c>
      <c r="O768" s="186">
        <f t="shared" si="37"/>
        <v>7502.0471505067399</v>
      </c>
      <c r="P768" s="186">
        <f t="shared" si="38"/>
        <v>2326.7284272521101</v>
      </c>
      <c r="Q768" s="215">
        <f>IF(P768="-",0,P768/(1+'General inputs'!$H$30)^'MP Calculations'!$C$40)</f>
        <v>5168.3362744026517</v>
      </c>
    </row>
    <row r="769" spans="3:17" x14ac:dyDescent="0.25">
      <c r="C769" s="159"/>
      <c r="D769" s="165" t="s">
        <v>306</v>
      </c>
      <c r="E769" s="162">
        <v>34278</v>
      </c>
      <c r="F769" s="166" t="str">
        <f t="shared" si="36"/>
        <v>Date check - OK</v>
      </c>
      <c r="G769" s="68"/>
      <c r="H769" s="162" t="s">
        <v>279</v>
      </c>
      <c r="I769" s="173">
        <v>89592.114709699614</v>
      </c>
      <c r="J769" s="168">
        <f>IFERROR(MIN('MP Calculations'!$E$30/I769,1),"-")</f>
        <v>0.31014580161562261</v>
      </c>
      <c r="K769" s="12"/>
      <c r="L769" s="159">
        <v>48.701103000000003</v>
      </c>
      <c r="M769" s="187" t="s">
        <v>408</v>
      </c>
      <c r="N769" s="187">
        <v>1362.548726</v>
      </c>
      <c r="O769" s="186">
        <f t="shared" si="37"/>
        <v>66357.625847444782</v>
      </c>
      <c r="P769" s="186">
        <f t="shared" si="38"/>
        <v>20580.539061765321</v>
      </c>
      <c r="Q769" s="215">
        <f>IF(P769="-",0,P769/(1+'General inputs'!$H$30)^'MP Calculations'!$C$40)</f>
        <v>45715.325146606432</v>
      </c>
    </row>
    <row r="770" spans="3:17" x14ac:dyDescent="0.25">
      <c r="C770" s="159"/>
      <c r="D770" s="165" t="s">
        <v>287</v>
      </c>
      <c r="E770" s="162">
        <v>34278</v>
      </c>
      <c r="F770" s="166" t="str">
        <f t="shared" si="36"/>
        <v>Date check - OK</v>
      </c>
      <c r="G770" s="68"/>
      <c r="H770" s="162" t="s">
        <v>279</v>
      </c>
      <c r="I770" s="173">
        <v>89592.114709699614</v>
      </c>
      <c r="J770" s="168">
        <f>IFERROR(MIN('MP Calculations'!$E$30/I770,1),"-")</f>
        <v>0.31014580161562261</v>
      </c>
      <c r="K770" s="12"/>
      <c r="L770" s="159">
        <v>43.234924999999997</v>
      </c>
      <c r="M770" s="187" t="s">
        <v>408</v>
      </c>
      <c r="N770" s="187">
        <v>833.55921999999998</v>
      </c>
      <c r="O770" s="186">
        <f t="shared" si="37"/>
        <v>36038.870359758497</v>
      </c>
      <c r="P770" s="186">
        <f t="shared" si="38"/>
        <v>11177.304337048801</v>
      </c>
      <c r="Q770" s="215">
        <f>IF(P770="-",0,P770/(1+'General inputs'!$H$30)^'MP Calculations'!$C$40)</f>
        <v>24828.023235798119</v>
      </c>
    </row>
    <row r="771" spans="3:17" x14ac:dyDescent="0.25">
      <c r="C771" s="159"/>
      <c r="D771" s="165" t="s">
        <v>287</v>
      </c>
      <c r="E771" s="162">
        <v>34278</v>
      </c>
      <c r="F771" s="166" t="str">
        <f t="shared" si="36"/>
        <v>Date check - OK</v>
      </c>
      <c r="G771" s="68"/>
      <c r="H771" s="162" t="s">
        <v>279</v>
      </c>
      <c r="I771" s="173">
        <v>89592.114709699614</v>
      </c>
      <c r="J771" s="168">
        <f>IFERROR(MIN('MP Calculations'!$E$30/I771,1),"-")</f>
        <v>0.31014580161562261</v>
      </c>
      <c r="K771" s="12"/>
      <c r="L771" s="159">
        <v>22.696975999999999</v>
      </c>
      <c r="M771" s="187" t="s">
        <v>408</v>
      </c>
      <c r="N771" s="187">
        <v>833.55921999999998</v>
      </c>
      <c r="O771" s="186">
        <f t="shared" si="37"/>
        <v>18919.273610918721</v>
      </c>
      <c r="P771" s="186">
        <f t="shared" si="38"/>
        <v>5867.7332800436816</v>
      </c>
      <c r="Q771" s="215">
        <f>IF(P771="-",0,P771/(1+'General inputs'!$H$30)^'MP Calculations'!$C$40)</f>
        <v>13033.931422579137</v>
      </c>
    </row>
    <row r="772" spans="3:17" x14ac:dyDescent="0.25">
      <c r="C772" s="159"/>
      <c r="D772" s="165" t="s">
        <v>287</v>
      </c>
      <c r="E772" s="162">
        <v>34278</v>
      </c>
      <c r="F772" s="166" t="str">
        <f t="shared" si="36"/>
        <v>Date check - OK</v>
      </c>
      <c r="G772" s="68"/>
      <c r="H772" s="162" t="s">
        <v>279</v>
      </c>
      <c r="I772" s="173">
        <v>89592.114709699614</v>
      </c>
      <c r="J772" s="168">
        <f>IFERROR(MIN('MP Calculations'!$E$30/I772,1),"-")</f>
        <v>0.31014580161562261</v>
      </c>
      <c r="K772" s="12"/>
      <c r="L772" s="159">
        <v>15.000019999999999</v>
      </c>
      <c r="M772" s="187" t="s">
        <v>408</v>
      </c>
      <c r="N772" s="187">
        <v>833.55921999999998</v>
      </c>
      <c r="O772" s="186">
        <f t="shared" si="37"/>
        <v>12503.4049711844</v>
      </c>
      <c r="P772" s="186">
        <f t="shared" si="38"/>
        <v>3877.8785577127464</v>
      </c>
      <c r="Q772" s="215">
        <f>IF(P772="-",0,P772/(1+'General inputs'!$H$30)^'MP Calculations'!$C$40)</f>
        <v>8613.8890051835751</v>
      </c>
    </row>
    <row r="773" spans="3:17" x14ac:dyDescent="0.25">
      <c r="C773" s="159"/>
      <c r="D773" s="165" t="s">
        <v>287</v>
      </c>
      <c r="E773" s="162">
        <v>34278</v>
      </c>
      <c r="F773" s="166" t="str">
        <f t="shared" si="36"/>
        <v>Date check - OK</v>
      </c>
      <c r="G773" s="68"/>
      <c r="H773" s="162" t="s">
        <v>279</v>
      </c>
      <c r="I773" s="173">
        <v>89592.114709699614</v>
      </c>
      <c r="J773" s="168">
        <f>IFERROR(MIN('MP Calculations'!$E$30/I773,1),"-")</f>
        <v>0.31014580161562261</v>
      </c>
      <c r="K773" s="12"/>
      <c r="L773" s="159">
        <v>13.000000999999999</v>
      </c>
      <c r="M773" s="187" t="s">
        <v>408</v>
      </c>
      <c r="N773" s="187">
        <v>833.55921999999998</v>
      </c>
      <c r="O773" s="186">
        <f t="shared" si="37"/>
        <v>10836.27069355922</v>
      </c>
      <c r="P773" s="186">
        <f t="shared" si="38"/>
        <v>3360.823860777803</v>
      </c>
      <c r="Q773" s="215">
        <f>IF(P773="-",0,P773/(1+'General inputs'!$H$30)^'MP Calculations'!$C$40)</f>
        <v>7465.3610916035768</v>
      </c>
    </row>
    <row r="774" spans="3:17" x14ac:dyDescent="0.25">
      <c r="C774" s="159"/>
      <c r="D774" s="165" t="s">
        <v>287</v>
      </c>
      <c r="E774" s="162">
        <v>34278</v>
      </c>
      <c r="F774" s="166" t="str">
        <f t="shared" si="36"/>
        <v>Date check - OK</v>
      </c>
      <c r="G774" s="68"/>
      <c r="H774" s="162" t="s">
        <v>279</v>
      </c>
      <c r="I774" s="173">
        <v>89592.114709699614</v>
      </c>
      <c r="J774" s="168">
        <f>IFERROR(MIN('MP Calculations'!$E$30/I774,1),"-")</f>
        <v>0.31014580161562261</v>
      </c>
      <c r="K774" s="12"/>
      <c r="L774" s="159">
        <v>7.6017970000000004</v>
      </c>
      <c r="M774" s="187" t="s">
        <v>408</v>
      </c>
      <c r="N774" s="187">
        <v>833.55921999999998</v>
      </c>
      <c r="O774" s="186">
        <f t="shared" si="37"/>
        <v>6336.5479779183397</v>
      </c>
      <c r="P774" s="186">
        <f t="shared" si="38"/>
        <v>1965.2537520873359</v>
      </c>
      <c r="Q774" s="215">
        <f>IF(P774="-",0,P774/(1+'General inputs'!$H$30)^'MP Calculations'!$C$40)</f>
        <v>4365.3965526670954</v>
      </c>
    </row>
    <row r="775" spans="3:17" x14ac:dyDescent="0.25">
      <c r="C775" s="159"/>
      <c r="D775" s="165" t="s">
        <v>287</v>
      </c>
      <c r="E775" s="162">
        <v>34278</v>
      </c>
      <c r="F775" s="166" t="str">
        <f t="shared" si="36"/>
        <v>Date check - OK</v>
      </c>
      <c r="G775" s="68"/>
      <c r="H775" s="162" t="s">
        <v>279</v>
      </c>
      <c r="I775" s="173">
        <v>89592.114709699614</v>
      </c>
      <c r="J775" s="168">
        <f>IFERROR(MIN('MP Calculations'!$E$30/I775,1),"-")</f>
        <v>0.31014580161562261</v>
      </c>
      <c r="K775" s="12"/>
      <c r="L775" s="159">
        <v>7.9999599999999997</v>
      </c>
      <c r="M775" s="187" t="s">
        <v>408</v>
      </c>
      <c r="N775" s="187">
        <v>833.55921999999998</v>
      </c>
      <c r="O775" s="186">
        <f t="shared" si="37"/>
        <v>6668.4404176312</v>
      </c>
      <c r="P775" s="186">
        <f t="shared" si="38"/>
        <v>2068.1887988522458</v>
      </c>
      <c r="Q775" s="215">
        <f>IF(P775="-",0,P775/(1+'General inputs'!$H$30)^'MP Calculations'!$C$40)</f>
        <v>4594.0450403338391</v>
      </c>
    </row>
    <row r="776" spans="3:17" x14ac:dyDescent="0.25">
      <c r="C776" s="159"/>
      <c r="D776" s="165" t="s">
        <v>287</v>
      </c>
      <c r="E776" s="162">
        <v>34278</v>
      </c>
      <c r="F776" s="166" t="str">
        <f t="shared" si="36"/>
        <v>Date check - OK</v>
      </c>
      <c r="G776" s="68"/>
      <c r="H776" s="162" t="s">
        <v>279</v>
      </c>
      <c r="I776" s="173">
        <v>89592.114709699614</v>
      </c>
      <c r="J776" s="168">
        <f>IFERROR(MIN('MP Calculations'!$E$30/I776,1),"-")</f>
        <v>0.31014580161562261</v>
      </c>
      <c r="K776" s="12"/>
      <c r="L776" s="159">
        <v>8.522043</v>
      </c>
      <c r="M776" s="187" t="s">
        <v>408</v>
      </c>
      <c r="N776" s="187">
        <v>833.55921999999998</v>
      </c>
      <c r="O776" s="186">
        <f t="shared" si="37"/>
        <v>7103.6275158864601</v>
      </c>
      <c r="P776" s="186">
        <f t="shared" si="38"/>
        <v>2203.1602502934002</v>
      </c>
      <c r="Q776" s="215">
        <f>IF(P776="-",0,P776/(1+'General inputs'!$H$30)^'MP Calculations'!$C$40)</f>
        <v>4893.8556414859222</v>
      </c>
    </row>
    <row r="777" spans="3:17" x14ac:dyDescent="0.25">
      <c r="C777" s="159"/>
      <c r="D777" s="165" t="s">
        <v>287</v>
      </c>
      <c r="E777" s="162">
        <v>34278</v>
      </c>
      <c r="F777" s="166" t="str">
        <f t="shared" si="36"/>
        <v>Date check - OK</v>
      </c>
      <c r="G777" s="68"/>
      <c r="H777" s="162" t="s">
        <v>279</v>
      </c>
      <c r="I777" s="173">
        <v>89592.114709699614</v>
      </c>
      <c r="J777" s="168">
        <f>IFERROR(MIN('MP Calculations'!$E$30/I777,1),"-")</f>
        <v>0.31014580161562261</v>
      </c>
      <c r="K777" s="12"/>
      <c r="L777" s="159">
        <v>14.621769</v>
      </c>
      <c r="M777" s="187" t="s">
        <v>408</v>
      </c>
      <c r="N777" s="187">
        <v>833.55921999999998</v>
      </c>
      <c r="O777" s="186">
        <f t="shared" si="37"/>
        <v>12188.11036266018</v>
      </c>
      <c r="P777" s="186">
        <f t="shared" si="38"/>
        <v>3780.091258606918</v>
      </c>
      <c r="Q777" s="215">
        <f>IF(P777="-",0,P777/(1+'General inputs'!$H$30)^'MP Calculations'!$C$40)</f>
        <v>8396.6751527953984</v>
      </c>
    </row>
    <row r="778" spans="3:17" x14ac:dyDescent="0.25">
      <c r="C778" s="159"/>
      <c r="D778" s="165" t="s">
        <v>287</v>
      </c>
      <c r="E778" s="162">
        <v>34278</v>
      </c>
      <c r="F778" s="166" t="str">
        <f t="shared" si="36"/>
        <v>Date check - OK</v>
      </c>
      <c r="G778" s="68"/>
      <c r="H778" s="162" t="s">
        <v>279</v>
      </c>
      <c r="I778" s="173">
        <v>89592.114709699614</v>
      </c>
      <c r="J778" s="168">
        <f>IFERROR(MIN('MP Calculations'!$E$30/I778,1),"-")</f>
        <v>0.31014580161562261</v>
      </c>
      <c r="K778" s="12"/>
      <c r="L778" s="159">
        <v>12.703044999999999</v>
      </c>
      <c r="M778" s="187" t="s">
        <v>408</v>
      </c>
      <c r="N778" s="187">
        <v>833.55921999999998</v>
      </c>
      <c r="O778" s="186">
        <f t="shared" si="37"/>
        <v>10588.740281824899</v>
      </c>
      <c r="P778" s="186">
        <f t="shared" si="38"/>
        <v>3284.0533428062172</v>
      </c>
      <c r="Q778" s="215">
        <f>IF(P778="-",0,P778/(1+'General inputs'!$H$30)^'MP Calculations'!$C$40)</f>
        <v>7294.8315840813675</v>
      </c>
    </row>
    <row r="779" spans="3:17" x14ac:dyDescent="0.25">
      <c r="C779" s="159"/>
      <c r="D779" s="165" t="s">
        <v>318</v>
      </c>
      <c r="E779" s="162">
        <v>34278</v>
      </c>
      <c r="F779" s="166" t="str">
        <f t="shared" si="36"/>
        <v>Date check - OK</v>
      </c>
      <c r="G779" s="68"/>
      <c r="H779" s="162" t="s">
        <v>279</v>
      </c>
      <c r="I779" s="173">
        <v>89592.114709699614</v>
      </c>
      <c r="J779" s="168">
        <f>IFERROR(MIN('MP Calculations'!$E$30/I779,1),"-")</f>
        <v>0.31014580161562261</v>
      </c>
      <c r="K779" s="12"/>
      <c r="L779" s="159">
        <v>26.468731999999999</v>
      </c>
      <c r="M779" s="187" t="s">
        <v>408</v>
      </c>
      <c r="N779" s="187">
        <v>1186.218891</v>
      </c>
      <c r="O779" s="186">
        <f t="shared" si="37"/>
        <v>31397.70991921621</v>
      </c>
      <c r="P779" s="186">
        <f t="shared" si="38"/>
        <v>9737.8679117900974</v>
      </c>
      <c r="Q779" s="215">
        <f>IF(P779="-",0,P779/(1+'General inputs'!$H$30)^'MP Calculations'!$C$40)</f>
        <v>21630.618930153752</v>
      </c>
    </row>
    <row r="780" spans="3:17" x14ac:dyDescent="0.25">
      <c r="C780" s="159"/>
      <c r="D780" s="165" t="s">
        <v>381</v>
      </c>
      <c r="E780" s="162">
        <v>34515</v>
      </c>
      <c r="F780" s="166" t="str">
        <f t="shared" si="36"/>
        <v>Date check - OK</v>
      </c>
      <c r="G780" s="68"/>
      <c r="H780" s="162" t="s">
        <v>279</v>
      </c>
      <c r="I780" s="173">
        <v>89592.114709699614</v>
      </c>
      <c r="J780" s="168">
        <f>IFERROR(MIN('MP Calculations'!$E$30/I780,1),"-")</f>
        <v>0.31014580161562261</v>
      </c>
      <c r="K780" s="12"/>
      <c r="L780" s="159">
        <v>1</v>
      </c>
      <c r="M780" s="187" t="s">
        <v>409</v>
      </c>
      <c r="N780" s="187">
        <v>151653.52456300001</v>
      </c>
      <c r="O780" s="186">
        <f t="shared" si="37"/>
        <v>151653.52456300001</v>
      </c>
      <c r="P780" s="186">
        <f t="shared" si="38"/>
        <v>47034.703943426153</v>
      </c>
      <c r="Q780" s="215">
        <f>IF(P780="-",0,P780/(1+'General inputs'!$H$30)^'MP Calculations'!$C$40)</f>
        <v>104477.67074977975</v>
      </c>
    </row>
    <row r="781" spans="3:17" x14ac:dyDescent="0.25">
      <c r="C781" s="159"/>
      <c r="D781" s="165" t="s">
        <v>382</v>
      </c>
      <c r="E781" s="162">
        <v>34515</v>
      </c>
      <c r="F781" s="166" t="str">
        <f t="shared" si="36"/>
        <v>Date check - OK</v>
      </c>
      <c r="G781" s="68"/>
      <c r="H781" s="162" t="s">
        <v>279</v>
      </c>
      <c r="I781" s="173">
        <v>89592.114709699614</v>
      </c>
      <c r="J781" s="168">
        <f>IFERROR(MIN('MP Calculations'!$E$30/I781,1),"-")</f>
        <v>0.31014580161562261</v>
      </c>
      <c r="K781" s="12"/>
      <c r="L781" s="159">
        <v>1</v>
      </c>
      <c r="M781" s="187" t="s">
        <v>409</v>
      </c>
      <c r="N781" s="187">
        <v>17446.865657999999</v>
      </c>
      <c r="O781" s="186">
        <f t="shared" si="37"/>
        <v>17446.865657999999</v>
      </c>
      <c r="P781" s="186">
        <f t="shared" si="38"/>
        <v>5411.0721351804868</v>
      </c>
      <c r="Q781" s="215">
        <f>IF(P781="-",0,P781/(1+'General inputs'!$H$30)^'MP Calculations'!$C$40)</f>
        <v>12019.555042223441</v>
      </c>
    </row>
    <row r="782" spans="3:17" x14ac:dyDescent="0.25">
      <c r="C782" s="159"/>
      <c r="D782" s="165" t="s">
        <v>383</v>
      </c>
      <c r="E782" s="162">
        <v>34515</v>
      </c>
      <c r="F782" s="166" t="str">
        <f t="shared" si="36"/>
        <v>Date check - OK</v>
      </c>
      <c r="G782" s="68"/>
      <c r="H782" s="162" t="s">
        <v>279</v>
      </c>
      <c r="I782" s="173">
        <v>89592.114709699614</v>
      </c>
      <c r="J782" s="168">
        <f>IFERROR(MIN('MP Calculations'!$E$30/I782,1),"-")</f>
        <v>0.31014580161562261</v>
      </c>
      <c r="K782" s="12"/>
      <c r="L782" s="159">
        <v>1</v>
      </c>
      <c r="M782" s="187" t="s">
        <v>409</v>
      </c>
      <c r="N782" s="187">
        <v>38584.414434999999</v>
      </c>
      <c r="O782" s="186">
        <f t="shared" si="37"/>
        <v>38584.414434999999</v>
      </c>
      <c r="P782" s="186">
        <f t="shared" si="38"/>
        <v>11966.794144812475</v>
      </c>
      <c r="Q782" s="215">
        <f>IF(P782="-",0,P782/(1+'General inputs'!$H$30)^'MP Calculations'!$C$40)</f>
        <v>26581.708265793262</v>
      </c>
    </row>
    <row r="783" spans="3:17" x14ac:dyDescent="0.25">
      <c r="C783" s="159"/>
      <c r="D783" s="165" t="s">
        <v>384</v>
      </c>
      <c r="E783" s="162">
        <v>34515</v>
      </c>
      <c r="F783" s="166" t="str">
        <f t="shared" si="36"/>
        <v>Date check - OK</v>
      </c>
      <c r="G783" s="68"/>
      <c r="H783" s="162" t="s">
        <v>279</v>
      </c>
      <c r="I783" s="173">
        <v>89592.114709699614</v>
      </c>
      <c r="J783" s="168">
        <f>IFERROR(MIN('MP Calculations'!$E$30/I783,1),"-")</f>
        <v>0.31014580161562261</v>
      </c>
      <c r="K783" s="12"/>
      <c r="L783" s="159">
        <v>1</v>
      </c>
      <c r="M783" s="187" t="s">
        <v>409</v>
      </c>
      <c r="N783" s="187">
        <v>17804.392197000001</v>
      </c>
      <c r="O783" s="186">
        <f t="shared" si="37"/>
        <v>17804.392197000001</v>
      </c>
      <c r="P783" s="186">
        <f t="shared" si="38"/>
        <v>5521.9574902175018</v>
      </c>
      <c r="Q783" s="215">
        <f>IF(P783="-",0,P783/(1+'General inputs'!$H$30)^'MP Calculations'!$C$40)</f>
        <v>12265.863462245907</v>
      </c>
    </row>
    <row r="784" spans="3:17" x14ac:dyDescent="0.25">
      <c r="C784" s="159"/>
      <c r="D784" s="165" t="s">
        <v>385</v>
      </c>
      <c r="E784" s="162">
        <v>34515</v>
      </c>
      <c r="F784" s="166" t="str">
        <f t="shared" si="36"/>
        <v>Date check - OK</v>
      </c>
      <c r="G784" s="68"/>
      <c r="H784" s="162" t="s">
        <v>279</v>
      </c>
      <c r="I784" s="173">
        <v>89592.114709699614</v>
      </c>
      <c r="J784" s="168">
        <f>IFERROR(MIN('MP Calculations'!$E$30/I784,1),"-")</f>
        <v>0.31014580161562261</v>
      </c>
      <c r="K784" s="12"/>
      <c r="L784" s="159">
        <v>1</v>
      </c>
      <c r="M784" s="187" t="s">
        <v>409</v>
      </c>
      <c r="N784" s="187">
        <v>22030.861851000001</v>
      </c>
      <c r="O784" s="186">
        <f t="shared" si="37"/>
        <v>22030.861851000001</v>
      </c>
      <c r="P784" s="186">
        <f t="shared" si="38"/>
        <v>6832.779309061435</v>
      </c>
      <c r="Q784" s="215">
        <f>IF(P784="-",0,P784/(1+'General inputs'!$H$30)^'MP Calculations'!$C$40)</f>
        <v>15177.57755670541</v>
      </c>
    </row>
    <row r="785" spans="3:17" x14ac:dyDescent="0.25">
      <c r="C785" s="159"/>
      <c r="D785" s="165" t="s">
        <v>386</v>
      </c>
      <c r="E785" s="162">
        <v>34515</v>
      </c>
      <c r="F785" s="166" t="str">
        <f t="shared" si="36"/>
        <v>Date check - OK</v>
      </c>
      <c r="G785" s="68"/>
      <c r="H785" s="162" t="s">
        <v>279</v>
      </c>
      <c r="I785" s="173">
        <v>89592.114709699614</v>
      </c>
      <c r="J785" s="168">
        <f>IFERROR(MIN('MP Calculations'!$E$30/I785,1),"-")</f>
        <v>0.31014580161562261</v>
      </c>
      <c r="K785" s="12"/>
      <c r="L785" s="159">
        <v>1</v>
      </c>
      <c r="M785" s="187" t="s">
        <v>409</v>
      </c>
      <c r="N785" s="187">
        <v>214503.94050999999</v>
      </c>
      <c r="O785" s="186">
        <f t="shared" si="37"/>
        <v>214503.94050999999</v>
      </c>
      <c r="P785" s="186">
        <f t="shared" si="38"/>
        <v>66527.496579183775</v>
      </c>
      <c r="Q785" s="215">
        <f>IF(P785="-",0,P785/(1+'General inputs'!$H$30)^'MP Calculations'!$C$40)</f>
        <v>147776.79671944704</v>
      </c>
    </row>
    <row r="786" spans="3:17" x14ac:dyDescent="0.25">
      <c r="C786" s="159"/>
      <c r="D786" s="165" t="s">
        <v>387</v>
      </c>
      <c r="E786" s="162">
        <v>34515</v>
      </c>
      <c r="F786" s="166" t="str">
        <f t="shared" si="36"/>
        <v>Date check - OK</v>
      </c>
      <c r="G786" s="68"/>
      <c r="H786" s="162" t="s">
        <v>279</v>
      </c>
      <c r="I786" s="173">
        <v>89592.114709699614</v>
      </c>
      <c r="J786" s="168">
        <f>IFERROR(MIN('MP Calculations'!$E$30/I786,1),"-")</f>
        <v>0.31014580161562261</v>
      </c>
      <c r="K786" s="12"/>
      <c r="L786" s="159">
        <v>1</v>
      </c>
      <c r="M786" s="187" t="s">
        <v>409</v>
      </c>
      <c r="N786" s="187">
        <v>43449.405821</v>
      </c>
      <c r="O786" s="186">
        <f t="shared" si="37"/>
        <v>43449.405821</v>
      </c>
      <c r="P786" s="186">
        <f t="shared" si="38"/>
        <v>13475.650798076544</v>
      </c>
      <c r="Q786" s="215">
        <f>IF(P786="-",0,P786/(1+'General inputs'!$H$30)^'MP Calculations'!$C$40)</f>
        <v>29933.314960670119</v>
      </c>
    </row>
    <row r="787" spans="3:17" x14ac:dyDescent="0.25">
      <c r="C787" s="159"/>
      <c r="D787" s="165" t="s">
        <v>388</v>
      </c>
      <c r="E787" s="162">
        <v>34515</v>
      </c>
      <c r="F787" s="166" t="str">
        <f t="shared" si="36"/>
        <v>Date check - OK</v>
      </c>
      <c r="G787" s="68"/>
      <c r="H787" s="162" t="s">
        <v>279</v>
      </c>
      <c r="I787" s="173">
        <v>89592.114709699614</v>
      </c>
      <c r="J787" s="168">
        <f>IFERROR(MIN('MP Calculations'!$E$30/I787,1),"-")</f>
        <v>0.31014580161562261</v>
      </c>
      <c r="K787" s="12"/>
      <c r="L787" s="159">
        <v>1</v>
      </c>
      <c r="M787" s="187" t="s">
        <v>409</v>
      </c>
      <c r="N787" s="187">
        <v>26002.540163000001</v>
      </c>
      <c r="O787" s="186">
        <f t="shared" si="37"/>
        <v>26002.540163000001</v>
      </c>
      <c r="P787" s="186">
        <f t="shared" si="38"/>
        <v>8064.5786628960577</v>
      </c>
      <c r="Q787" s="215">
        <f>IF(P787="-",0,P787/(1+'General inputs'!$H$30)^'MP Calculations'!$C$40)</f>
        <v>17913.759918446678</v>
      </c>
    </row>
    <row r="788" spans="3:17" x14ac:dyDescent="0.25">
      <c r="C788" s="159"/>
      <c r="D788" s="165" t="s">
        <v>389</v>
      </c>
      <c r="E788" s="162">
        <v>34515</v>
      </c>
      <c r="F788" s="166" t="str">
        <f t="shared" si="36"/>
        <v>Date check - OK</v>
      </c>
      <c r="G788" s="68"/>
      <c r="H788" s="162" t="s">
        <v>279</v>
      </c>
      <c r="I788" s="173">
        <v>89592.114709699614</v>
      </c>
      <c r="J788" s="168">
        <f>IFERROR(MIN('MP Calculations'!$E$30/I788,1),"-")</f>
        <v>0.31014580161562261</v>
      </c>
      <c r="K788" s="12"/>
      <c r="L788" s="159">
        <v>1</v>
      </c>
      <c r="M788" s="187" t="s">
        <v>409</v>
      </c>
      <c r="N788" s="187">
        <v>3455.8214670000002</v>
      </c>
      <c r="O788" s="186">
        <f t="shared" si="37"/>
        <v>3455.8214670000002</v>
      </c>
      <c r="P788" s="186">
        <f t="shared" si="38"/>
        <v>1071.8085191231919</v>
      </c>
      <c r="Q788" s="215">
        <f>IF(P788="-",0,P788/(1+'General inputs'!$H$30)^'MP Calculations'!$C$40)</f>
        <v>2380.7964796047759</v>
      </c>
    </row>
    <row r="789" spans="3:17" x14ac:dyDescent="0.25">
      <c r="C789" s="159"/>
      <c r="D789" s="165" t="s">
        <v>390</v>
      </c>
      <c r="E789" s="162">
        <v>34515</v>
      </c>
      <c r="F789" s="166" t="str">
        <f t="shared" si="36"/>
        <v>Date check - OK</v>
      </c>
      <c r="G789" s="68"/>
      <c r="H789" s="162" t="s">
        <v>279</v>
      </c>
      <c r="I789" s="173">
        <v>89592.114709699614</v>
      </c>
      <c r="J789" s="168">
        <f>IFERROR(MIN('MP Calculations'!$E$30/I789,1),"-")</f>
        <v>0.31014580161562261</v>
      </c>
      <c r="K789" s="12"/>
      <c r="L789" s="159">
        <v>1</v>
      </c>
      <c r="M789" s="187" t="s">
        <v>409</v>
      </c>
      <c r="N789" s="187">
        <v>204040.32354400001</v>
      </c>
      <c r="O789" s="186">
        <f t="shared" si="37"/>
        <v>204040.32354400001</v>
      </c>
      <c r="P789" s="186">
        <f t="shared" si="38"/>
        <v>63282.249707464878</v>
      </c>
      <c r="Q789" s="215">
        <f>IF(P789="-",0,P789/(1+'General inputs'!$H$30)^'MP Calculations'!$C$40)</f>
        <v>140568.16552293694</v>
      </c>
    </row>
    <row r="790" spans="3:17" x14ac:dyDescent="0.25">
      <c r="C790" s="159"/>
      <c r="D790" s="165" t="s">
        <v>391</v>
      </c>
      <c r="E790" s="162">
        <v>34515</v>
      </c>
      <c r="F790" s="166" t="str">
        <f t="shared" si="36"/>
        <v>Date check - OK</v>
      </c>
      <c r="G790" s="68"/>
      <c r="H790" s="162" t="s">
        <v>279</v>
      </c>
      <c r="I790" s="173">
        <v>89592.114709699614</v>
      </c>
      <c r="J790" s="168">
        <f>IFERROR(MIN('MP Calculations'!$E$30/I790,1),"-")</f>
        <v>0.31014580161562261</v>
      </c>
      <c r="K790" s="12"/>
      <c r="L790" s="159">
        <v>1</v>
      </c>
      <c r="M790" s="187" t="s">
        <v>409</v>
      </c>
      <c r="N790" s="187">
        <v>43407.466240000002</v>
      </c>
      <c r="O790" s="186">
        <f t="shared" si="37"/>
        <v>43407.466240000002</v>
      </c>
      <c r="P790" s="186">
        <f t="shared" si="38"/>
        <v>13462.643413107877</v>
      </c>
      <c r="Q790" s="215">
        <f>IF(P790="-",0,P790/(1+'General inputs'!$H$30)^'MP Calculations'!$C$40)</f>
        <v>29904.421799447999</v>
      </c>
    </row>
    <row r="791" spans="3:17" x14ac:dyDescent="0.25">
      <c r="C791" s="159"/>
      <c r="D791" s="165" t="s">
        <v>392</v>
      </c>
      <c r="E791" s="162">
        <v>34515</v>
      </c>
      <c r="F791" s="166" t="str">
        <f t="shared" ref="F791:F854" si="39">IF(E791="","-",IF(OR(E791&lt;$E$15,E791&gt;$E$16),"ERROR - date outside of range","Date check - OK"))</f>
        <v>Date check - OK</v>
      </c>
      <c r="G791" s="68"/>
      <c r="H791" s="162" t="s">
        <v>279</v>
      </c>
      <c r="I791" s="173">
        <v>89592.114709699614</v>
      </c>
      <c r="J791" s="168">
        <f>IFERROR(MIN('MP Calculations'!$E$30/I791,1),"-")</f>
        <v>0.31014580161562261</v>
      </c>
      <c r="K791" s="12"/>
      <c r="L791" s="159">
        <v>1</v>
      </c>
      <c r="M791" s="187" t="s">
        <v>409</v>
      </c>
      <c r="N791" s="187">
        <v>26044.479744</v>
      </c>
      <c r="O791" s="186">
        <f t="shared" ref="O791:O854" si="40">IF(N791="","-",L791*N791)</f>
        <v>26044.479744</v>
      </c>
      <c r="P791" s="186">
        <f t="shared" ref="P791:P854" si="41">IF(O791="-","-",IF(OR(E791&lt;$E$15,E791&gt;$E$16),0,O791*J791))</f>
        <v>8077.5860478647255</v>
      </c>
      <c r="Q791" s="215">
        <f>IF(P791="-",0,P791/(1+'General inputs'!$H$30)^'MP Calculations'!$C$40)</f>
        <v>17942.653079668798</v>
      </c>
    </row>
    <row r="792" spans="3:17" x14ac:dyDescent="0.25">
      <c r="C792" s="159"/>
      <c r="D792" s="165" t="s">
        <v>393</v>
      </c>
      <c r="E792" s="162">
        <v>34515</v>
      </c>
      <c r="F792" s="166" t="str">
        <f t="shared" si="39"/>
        <v>Date check - OK</v>
      </c>
      <c r="G792" s="68"/>
      <c r="H792" s="162" t="s">
        <v>279</v>
      </c>
      <c r="I792" s="173">
        <v>89592.114709699614</v>
      </c>
      <c r="J792" s="168">
        <f>IFERROR(MIN('MP Calculations'!$E$30/I792,1),"-")</f>
        <v>0.31014580161562261</v>
      </c>
      <c r="K792" s="12"/>
      <c r="L792" s="159">
        <v>1</v>
      </c>
      <c r="M792" s="187" t="s">
        <v>409</v>
      </c>
      <c r="N792" s="187">
        <v>5468.9213499999996</v>
      </c>
      <c r="O792" s="186">
        <f t="shared" si="40"/>
        <v>5468.9213499999996</v>
      </c>
      <c r="P792" s="186">
        <f t="shared" si="41"/>
        <v>1696.162996068543</v>
      </c>
      <c r="Q792" s="215">
        <f>IF(P792="-",0,P792/(1+'General inputs'!$H$30)^'MP Calculations'!$C$40)</f>
        <v>3767.6682148219893</v>
      </c>
    </row>
    <row r="793" spans="3:17" x14ac:dyDescent="0.25">
      <c r="C793" s="159"/>
      <c r="D793" s="165" t="s">
        <v>394</v>
      </c>
      <c r="E793" s="162">
        <v>34515</v>
      </c>
      <c r="F793" s="166" t="str">
        <f t="shared" si="39"/>
        <v>Date check - OK</v>
      </c>
      <c r="G793" s="68"/>
      <c r="H793" s="162" t="s">
        <v>279</v>
      </c>
      <c r="I793" s="173">
        <v>89592.114709699614</v>
      </c>
      <c r="J793" s="168">
        <f>IFERROR(MIN('MP Calculations'!$E$30/I793,1),"-")</f>
        <v>0.31014580161562261</v>
      </c>
      <c r="K793" s="12"/>
      <c r="L793" s="159">
        <v>1</v>
      </c>
      <c r="M793" s="187" t="s">
        <v>409</v>
      </c>
      <c r="N793" s="187">
        <v>3455.8214670000002</v>
      </c>
      <c r="O793" s="186">
        <f t="shared" si="40"/>
        <v>3455.8214670000002</v>
      </c>
      <c r="P793" s="186">
        <f t="shared" si="41"/>
        <v>1071.8085191231919</v>
      </c>
      <c r="Q793" s="215">
        <f>IF(P793="-",0,P793/(1+'General inputs'!$H$30)^'MP Calculations'!$C$40)</f>
        <v>2380.7964796047759</v>
      </c>
    </row>
    <row r="794" spans="3:17" x14ac:dyDescent="0.25">
      <c r="C794" s="159"/>
      <c r="D794" s="165" t="s">
        <v>395</v>
      </c>
      <c r="E794" s="162">
        <v>34515</v>
      </c>
      <c r="F794" s="166" t="str">
        <f t="shared" si="39"/>
        <v>Date check - OK</v>
      </c>
      <c r="G794" s="68"/>
      <c r="H794" s="162" t="s">
        <v>279</v>
      </c>
      <c r="I794" s="173">
        <v>89592.114709699614</v>
      </c>
      <c r="J794" s="168">
        <f>IFERROR(MIN('MP Calculations'!$E$30/I794,1),"-")</f>
        <v>0.31014580161562261</v>
      </c>
      <c r="K794" s="12"/>
      <c r="L794" s="159">
        <v>1</v>
      </c>
      <c r="M794" s="187" t="s">
        <v>409</v>
      </c>
      <c r="N794" s="187">
        <v>5468.9213499999996</v>
      </c>
      <c r="O794" s="186">
        <f t="shared" si="40"/>
        <v>5468.9213499999996</v>
      </c>
      <c r="P794" s="186">
        <f t="shared" si="41"/>
        <v>1696.162996068543</v>
      </c>
      <c r="Q794" s="215">
        <f>IF(P794="-",0,P794/(1+'General inputs'!$H$30)^'MP Calculations'!$C$40)</f>
        <v>3767.6682148219893</v>
      </c>
    </row>
    <row r="795" spans="3:17" x14ac:dyDescent="0.25">
      <c r="C795" s="159"/>
      <c r="D795" s="165" t="s">
        <v>396</v>
      </c>
      <c r="E795" s="162">
        <v>34515</v>
      </c>
      <c r="F795" s="166" t="str">
        <f t="shared" si="39"/>
        <v>Date check - OK</v>
      </c>
      <c r="G795" s="68"/>
      <c r="H795" s="162" t="s">
        <v>279</v>
      </c>
      <c r="I795" s="173">
        <v>89592.114709699614</v>
      </c>
      <c r="J795" s="168">
        <f>IFERROR(MIN('MP Calculations'!$E$30/I795,1),"-")</f>
        <v>0.31014580161562261</v>
      </c>
      <c r="K795" s="12"/>
      <c r="L795" s="159">
        <v>1</v>
      </c>
      <c r="M795" s="187" t="s">
        <v>409</v>
      </c>
      <c r="N795" s="187">
        <v>18661.435921</v>
      </c>
      <c r="O795" s="186">
        <f t="shared" si="40"/>
        <v>18661.435921</v>
      </c>
      <c r="P795" s="186">
        <f t="shared" si="41"/>
        <v>5787.7660030171201</v>
      </c>
      <c r="Q795" s="215">
        <f>IF(P795="-",0,P795/(1+'General inputs'!$H$30)^'MP Calculations'!$C$40)</f>
        <v>12856.300989314652</v>
      </c>
    </row>
    <row r="796" spans="3:17" x14ac:dyDescent="0.25">
      <c r="C796" s="159"/>
      <c r="D796" s="165" t="s">
        <v>397</v>
      </c>
      <c r="E796" s="162">
        <v>34515</v>
      </c>
      <c r="F796" s="166" t="str">
        <f t="shared" si="39"/>
        <v>Date check - OK</v>
      </c>
      <c r="G796" s="68"/>
      <c r="H796" s="162" t="s">
        <v>279</v>
      </c>
      <c r="I796" s="173">
        <v>89592.114709699614</v>
      </c>
      <c r="J796" s="168">
        <f>IFERROR(MIN('MP Calculations'!$E$30/I796,1),"-")</f>
        <v>0.31014580161562261</v>
      </c>
      <c r="K796" s="12"/>
      <c r="L796" s="159">
        <v>1</v>
      </c>
      <c r="M796" s="187" t="s">
        <v>409</v>
      </c>
      <c r="N796" s="187">
        <v>11678.009201000001</v>
      </c>
      <c r="O796" s="186">
        <f t="shared" si="40"/>
        <v>11678.009201000001</v>
      </c>
      <c r="P796" s="186">
        <f t="shared" si="41"/>
        <v>3621.8855249187618</v>
      </c>
      <c r="Q796" s="215">
        <f>IF(P796="-",0,P796/(1+'General inputs'!$H$30)^'MP Calculations'!$C$40)</f>
        <v>8045.2544959357374</v>
      </c>
    </row>
    <row r="797" spans="3:17" x14ac:dyDescent="0.25">
      <c r="C797" s="159"/>
      <c r="D797" s="165" t="s">
        <v>398</v>
      </c>
      <c r="E797" s="162">
        <v>34515</v>
      </c>
      <c r="F797" s="166" t="str">
        <f t="shared" si="39"/>
        <v>Date check - OK</v>
      </c>
      <c r="G797" s="68"/>
      <c r="H797" s="162" t="s">
        <v>279</v>
      </c>
      <c r="I797" s="173">
        <v>89592.114709699614</v>
      </c>
      <c r="J797" s="168">
        <f>IFERROR(MIN('MP Calculations'!$E$30/I797,1),"-")</f>
        <v>0.31014580161562261</v>
      </c>
      <c r="K797" s="12"/>
      <c r="L797" s="159">
        <v>1</v>
      </c>
      <c r="M797" s="187" t="s">
        <v>409</v>
      </c>
      <c r="N797" s="187">
        <v>25163.748544999999</v>
      </c>
      <c r="O797" s="186">
        <f t="shared" si="40"/>
        <v>25163.748544999999</v>
      </c>
      <c r="P797" s="186">
        <f t="shared" si="41"/>
        <v>7804.4309641429818</v>
      </c>
      <c r="Q797" s="215">
        <f>IF(P797="-",0,P797/(1+'General inputs'!$H$30)^'MP Calculations'!$C$40)</f>
        <v>17335.896695382093</v>
      </c>
    </row>
    <row r="798" spans="3:17" x14ac:dyDescent="0.25">
      <c r="C798" s="159"/>
      <c r="D798" s="165" t="s">
        <v>399</v>
      </c>
      <c r="E798" s="162">
        <v>34515</v>
      </c>
      <c r="F798" s="166" t="str">
        <f t="shared" si="39"/>
        <v>Date check - OK</v>
      </c>
      <c r="G798" s="68"/>
      <c r="H798" s="162" t="s">
        <v>279</v>
      </c>
      <c r="I798" s="173">
        <v>89592.114709699614</v>
      </c>
      <c r="J798" s="168">
        <f>IFERROR(MIN('MP Calculations'!$E$30/I798,1),"-")</f>
        <v>0.31014580161562261</v>
      </c>
      <c r="K798" s="12"/>
      <c r="L798" s="159">
        <v>1</v>
      </c>
      <c r="M798" s="187" t="s">
        <v>409</v>
      </c>
      <c r="N798" s="187">
        <v>18661.435921</v>
      </c>
      <c r="O798" s="186">
        <f t="shared" si="40"/>
        <v>18661.435921</v>
      </c>
      <c r="P798" s="186">
        <f t="shared" si="41"/>
        <v>5787.7660030171201</v>
      </c>
      <c r="Q798" s="215">
        <f>IF(P798="-",0,P798/(1+'General inputs'!$H$30)^'MP Calculations'!$C$40)</f>
        <v>12856.300989314652</v>
      </c>
    </row>
    <row r="799" spans="3:17" x14ac:dyDescent="0.25">
      <c r="C799" s="159"/>
      <c r="D799" s="165" t="s">
        <v>400</v>
      </c>
      <c r="E799" s="162">
        <v>34515</v>
      </c>
      <c r="F799" s="166" t="str">
        <f t="shared" si="39"/>
        <v>Date check - OK</v>
      </c>
      <c r="G799" s="68"/>
      <c r="H799" s="162" t="s">
        <v>279</v>
      </c>
      <c r="I799" s="173">
        <v>89592.114709699614</v>
      </c>
      <c r="J799" s="168">
        <f>IFERROR(MIN('MP Calculations'!$E$30/I799,1),"-")</f>
        <v>0.31014580161562261</v>
      </c>
      <c r="K799" s="12"/>
      <c r="L799" s="159">
        <v>1</v>
      </c>
      <c r="M799" s="187" t="s">
        <v>409</v>
      </c>
      <c r="N799" s="187">
        <v>8035.6237019999999</v>
      </c>
      <c r="O799" s="186">
        <f t="shared" si="40"/>
        <v>8035.6237019999999</v>
      </c>
      <c r="P799" s="186">
        <f t="shared" si="41"/>
        <v>2492.2149545382867</v>
      </c>
      <c r="Q799" s="215">
        <f>IF(P799="-",0,P799/(1+'General inputs'!$H$30)^'MP Calculations'!$C$40)</f>
        <v>5535.9296780334216</v>
      </c>
    </row>
    <row r="800" spans="3:17" x14ac:dyDescent="0.25">
      <c r="C800" s="159"/>
      <c r="D800" s="165" t="s">
        <v>401</v>
      </c>
      <c r="E800" s="162">
        <v>34515</v>
      </c>
      <c r="F800" s="166" t="str">
        <f t="shared" si="39"/>
        <v>Date check - OK</v>
      </c>
      <c r="G800" s="68"/>
      <c r="H800" s="162" t="s">
        <v>279</v>
      </c>
      <c r="I800" s="173">
        <v>89592.114709699614</v>
      </c>
      <c r="J800" s="168">
        <f>IFERROR(MIN('MP Calculations'!$E$30/I800,1),"-")</f>
        <v>0.31014580161562261</v>
      </c>
      <c r="K800" s="12"/>
      <c r="L800" s="159">
        <v>1</v>
      </c>
      <c r="M800" s="187" t="s">
        <v>409</v>
      </c>
      <c r="N800" s="187">
        <v>18661.435921</v>
      </c>
      <c r="O800" s="186">
        <f t="shared" si="40"/>
        <v>18661.435921</v>
      </c>
      <c r="P800" s="186">
        <f t="shared" si="41"/>
        <v>5787.7660030171201</v>
      </c>
      <c r="Q800" s="215">
        <f>IF(P800="-",0,P800/(1+'General inputs'!$H$30)^'MP Calculations'!$C$40)</f>
        <v>12856.300989314652</v>
      </c>
    </row>
    <row r="801" spans="3:17" x14ac:dyDescent="0.25">
      <c r="C801" s="159"/>
      <c r="D801" s="165" t="s">
        <v>402</v>
      </c>
      <c r="E801" s="162">
        <v>34515</v>
      </c>
      <c r="F801" s="166" t="str">
        <f t="shared" si="39"/>
        <v>Date check - OK</v>
      </c>
      <c r="G801" s="68"/>
      <c r="H801" s="162" t="s">
        <v>279</v>
      </c>
      <c r="I801" s="173">
        <v>89592.114709699614</v>
      </c>
      <c r="J801" s="168">
        <f>IFERROR(MIN('MP Calculations'!$E$30/I801,1),"-")</f>
        <v>0.31014580161562261</v>
      </c>
      <c r="K801" s="12"/>
      <c r="L801" s="159">
        <v>1</v>
      </c>
      <c r="M801" s="187" t="s">
        <v>409</v>
      </c>
      <c r="N801" s="187">
        <v>24373.932885999999</v>
      </c>
      <c r="O801" s="186">
        <f t="shared" si="40"/>
        <v>24373.932885999999</v>
      </c>
      <c r="P801" s="186">
        <f t="shared" si="41"/>
        <v>7559.4729534538556</v>
      </c>
      <c r="Q801" s="215">
        <f>IF(P801="-",0,P801/(1+'General inputs'!$H$30)^'MP Calculations'!$C$40)</f>
        <v>16791.774159412002</v>
      </c>
    </row>
    <row r="802" spans="3:17" x14ac:dyDescent="0.25">
      <c r="C802" s="159"/>
      <c r="D802" s="165" t="s">
        <v>403</v>
      </c>
      <c r="E802" s="162">
        <v>34515</v>
      </c>
      <c r="F802" s="166" t="str">
        <f t="shared" si="39"/>
        <v>Date check - OK</v>
      </c>
      <c r="G802" s="68"/>
      <c r="H802" s="162" t="s">
        <v>279</v>
      </c>
      <c r="I802" s="173">
        <v>89592.114709699614</v>
      </c>
      <c r="J802" s="168">
        <f>IFERROR(MIN('MP Calculations'!$E$30/I802,1),"-")</f>
        <v>0.31014580161562261</v>
      </c>
      <c r="K802" s="12"/>
      <c r="L802" s="159">
        <v>1</v>
      </c>
      <c r="M802" s="187" t="s">
        <v>409</v>
      </c>
      <c r="N802" s="187">
        <v>24373.932885999999</v>
      </c>
      <c r="O802" s="186">
        <f t="shared" si="40"/>
        <v>24373.932885999999</v>
      </c>
      <c r="P802" s="186">
        <f t="shared" si="41"/>
        <v>7559.4729534538556</v>
      </c>
      <c r="Q802" s="215">
        <f>IF(P802="-",0,P802/(1+'General inputs'!$H$30)^'MP Calculations'!$C$40)</f>
        <v>16791.774159412002</v>
      </c>
    </row>
    <row r="803" spans="3:17" x14ac:dyDescent="0.25">
      <c r="C803" s="159"/>
      <c r="D803" s="165" t="s">
        <v>404</v>
      </c>
      <c r="E803" s="162">
        <v>34515</v>
      </c>
      <c r="F803" s="166" t="str">
        <f t="shared" si="39"/>
        <v>Date check - OK</v>
      </c>
      <c r="G803" s="68"/>
      <c r="H803" s="162" t="s">
        <v>279</v>
      </c>
      <c r="I803" s="173">
        <v>89592.114709699614</v>
      </c>
      <c r="J803" s="168">
        <f>IFERROR(MIN('MP Calculations'!$E$30/I803,1),"-")</f>
        <v>0.31014580161562261</v>
      </c>
      <c r="K803" s="12"/>
      <c r="L803" s="159">
        <v>1</v>
      </c>
      <c r="M803" s="187" t="s">
        <v>409</v>
      </c>
      <c r="N803" s="187">
        <v>2492.9502280000002</v>
      </c>
      <c r="O803" s="186">
        <f t="shared" si="40"/>
        <v>2492.9502280000002</v>
      </c>
      <c r="P803" s="186">
        <f t="shared" si="41"/>
        <v>773.17804685090914</v>
      </c>
      <c r="Q803" s="215">
        <f>IF(P803="-",0,P803/(1+'General inputs'!$H$30)^'MP Calculations'!$C$40)</f>
        <v>1717.451894818131</v>
      </c>
    </row>
    <row r="804" spans="3:17" x14ac:dyDescent="0.25">
      <c r="C804" s="159"/>
      <c r="D804" s="165" t="s">
        <v>405</v>
      </c>
      <c r="E804" s="162">
        <v>34515</v>
      </c>
      <c r="F804" s="166" t="str">
        <f t="shared" si="39"/>
        <v>Date check - OK</v>
      </c>
      <c r="G804" s="68"/>
      <c r="H804" s="162" t="s">
        <v>279</v>
      </c>
      <c r="I804" s="173">
        <v>89592.114709699614</v>
      </c>
      <c r="J804" s="168">
        <f>IFERROR(MIN('MP Calculations'!$E$30/I804,1),"-")</f>
        <v>0.31014580161562261</v>
      </c>
      <c r="K804" s="12"/>
      <c r="L804" s="159">
        <v>1</v>
      </c>
      <c r="M804" s="187" t="s">
        <v>409</v>
      </c>
      <c r="N804" s="187">
        <v>18661.435921</v>
      </c>
      <c r="O804" s="186">
        <f t="shared" si="40"/>
        <v>18661.435921</v>
      </c>
      <c r="P804" s="186">
        <f t="shared" si="41"/>
        <v>5787.7660030171201</v>
      </c>
      <c r="Q804" s="215">
        <f>IF(P804="-",0,P804/(1+'General inputs'!$H$30)^'MP Calculations'!$C$40)</f>
        <v>12856.300989314652</v>
      </c>
    </row>
    <row r="805" spans="3:17" x14ac:dyDescent="0.25">
      <c r="C805" s="159"/>
      <c r="D805" s="165" t="s">
        <v>380</v>
      </c>
      <c r="E805" s="162">
        <v>34515</v>
      </c>
      <c r="F805" s="166" t="str">
        <f t="shared" si="39"/>
        <v>Date check - OK</v>
      </c>
      <c r="G805" s="68"/>
      <c r="H805" s="162" t="s">
        <v>279</v>
      </c>
      <c r="I805" s="173">
        <v>89592.114709699614</v>
      </c>
      <c r="J805" s="168">
        <f>IFERROR(MIN('MP Calculations'!$E$30/I805,1),"-")</f>
        <v>0.31014580161562261</v>
      </c>
      <c r="K805" s="12"/>
      <c r="L805" s="159">
        <v>1</v>
      </c>
      <c r="M805" s="187" t="s">
        <v>409</v>
      </c>
      <c r="N805" s="187">
        <v>653940.78038500005</v>
      </c>
      <c r="O805" s="186">
        <f t="shared" si="40"/>
        <v>653940.78038500005</v>
      </c>
      <c r="P805" s="186">
        <f t="shared" si="41"/>
        <v>202816.98754165164</v>
      </c>
      <c r="Q805" s="215">
        <f>IF(P805="-",0,P805/(1+'General inputs'!$H$30)^'MP Calculations'!$C$40)</f>
        <v>450515.14456913003</v>
      </c>
    </row>
    <row r="806" spans="3:17" x14ac:dyDescent="0.25">
      <c r="C806" s="159"/>
      <c r="D806" s="165" t="s">
        <v>283</v>
      </c>
      <c r="E806" s="162">
        <v>34743</v>
      </c>
      <c r="F806" s="166" t="str">
        <f t="shared" si="39"/>
        <v>Date check - OK</v>
      </c>
      <c r="G806" s="68"/>
      <c r="H806" s="162" t="s">
        <v>279</v>
      </c>
      <c r="I806" s="173">
        <v>89592.114709699614</v>
      </c>
      <c r="J806" s="168">
        <f>IFERROR(MIN('MP Calculations'!$E$30/I806,1),"-")</f>
        <v>0.31014580161562261</v>
      </c>
      <c r="K806" s="12"/>
      <c r="L806" s="159">
        <v>21.793959000000001</v>
      </c>
      <c r="M806" s="187" t="s">
        <v>408</v>
      </c>
      <c r="N806" s="187">
        <v>480.89954999999998</v>
      </c>
      <c r="O806" s="186">
        <f t="shared" si="40"/>
        <v>10480.70507581845</v>
      </c>
      <c r="P806" s="186">
        <f t="shared" si="41"/>
        <v>3250.5466772366381</v>
      </c>
      <c r="Q806" s="215">
        <f>IF(P806="-",0,P806/(1+'General inputs'!$H$30)^'MP Calculations'!$C$40)</f>
        <v>7220.403596238345</v>
      </c>
    </row>
    <row r="807" spans="3:17" x14ac:dyDescent="0.25">
      <c r="C807" s="159"/>
      <c r="D807" s="165" t="s">
        <v>406</v>
      </c>
      <c r="E807" s="162">
        <v>34881</v>
      </c>
      <c r="F807" s="166" t="str">
        <f t="shared" si="39"/>
        <v>Date check - OK</v>
      </c>
      <c r="G807" s="68"/>
      <c r="H807" s="162" t="s">
        <v>279</v>
      </c>
      <c r="I807" s="173">
        <v>89592.114709699614</v>
      </c>
      <c r="J807" s="168">
        <f>IFERROR(MIN('MP Calculations'!$E$30/I807,1),"-")</f>
        <v>0.31014580161562261</v>
      </c>
      <c r="K807" s="12"/>
      <c r="L807" s="159">
        <v>1</v>
      </c>
      <c r="M807" s="187" t="s">
        <v>409</v>
      </c>
      <c r="N807" s="187">
        <v>1160367.99</v>
      </c>
      <c r="O807" s="186">
        <f t="shared" si="40"/>
        <v>1160367.99</v>
      </c>
      <c r="P807" s="186">
        <f t="shared" si="41"/>
        <v>359883.26042765874</v>
      </c>
      <c r="Q807" s="215">
        <f>IF(P807="-",0,P807/(1+'General inputs'!$H$30)^'MP Calculations'!$C$40)</f>
        <v>799404.72967669938</v>
      </c>
    </row>
    <row r="808" spans="3:17" x14ac:dyDescent="0.25">
      <c r="C808" s="159"/>
      <c r="D808" s="165" t="s">
        <v>407</v>
      </c>
      <c r="E808" s="162">
        <v>34881</v>
      </c>
      <c r="F808" s="166" t="str">
        <f t="shared" si="39"/>
        <v>Date check - OK</v>
      </c>
      <c r="G808" s="68"/>
      <c r="H808" s="162" t="s">
        <v>279</v>
      </c>
      <c r="I808" s="173">
        <v>89592.114709699614</v>
      </c>
      <c r="J808" s="168">
        <f>IFERROR(MIN('MP Calculations'!$E$30/I808,1),"-")</f>
        <v>0.31014580161562261</v>
      </c>
      <c r="K808" s="12"/>
      <c r="L808" s="159">
        <v>1</v>
      </c>
      <c r="M808" s="187" t="s">
        <v>409</v>
      </c>
      <c r="N808" s="187">
        <v>15204.52</v>
      </c>
      <c r="O808" s="186">
        <f t="shared" si="40"/>
        <v>15204.52</v>
      </c>
      <c r="P808" s="186">
        <f t="shared" si="41"/>
        <v>4715.6180435807664</v>
      </c>
      <c r="Q808" s="215">
        <f>IF(P808="-",0,P808/(1+'General inputs'!$H$30)^'MP Calculations'!$C$40)</f>
        <v>10474.750514674202</v>
      </c>
    </row>
    <row r="809" spans="3:17" x14ac:dyDescent="0.25">
      <c r="C809" s="159"/>
      <c r="D809" s="165" t="s">
        <v>283</v>
      </c>
      <c r="E809" s="162">
        <v>34914</v>
      </c>
      <c r="F809" s="166" t="str">
        <f t="shared" si="39"/>
        <v>Date check - OK</v>
      </c>
      <c r="G809" s="68"/>
      <c r="H809" s="162" t="s">
        <v>279</v>
      </c>
      <c r="I809" s="173">
        <v>89592.114709699614</v>
      </c>
      <c r="J809" s="168">
        <f>IFERROR(MIN('MP Calculations'!$E$30/I809,1),"-")</f>
        <v>0.31014580161562261</v>
      </c>
      <c r="K809" s="12"/>
      <c r="L809" s="159">
        <v>26.094536000000002</v>
      </c>
      <c r="M809" s="187" t="s">
        <v>408</v>
      </c>
      <c r="N809" s="187">
        <v>480.89954999999998</v>
      </c>
      <c r="O809" s="186">
        <f t="shared" si="40"/>
        <v>12548.8506198588</v>
      </c>
      <c r="P809" s="186">
        <f t="shared" si="41"/>
        <v>3891.9733348508103</v>
      </c>
      <c r="Q809" s="215">
        <f>IF(P809="-",0,P809/(1+'General inputs'!$H$30)^'MP Calculations'!$C$40)</f>
        <v>8645.1975786763178</v>
      </c>
    </row>
    <row r="810" spans="3:17" x14ac:dyDescent="0.25">
      <c r="C810" s="159"/>
      <c r="D810" s="165" t="s">
        <v>284</v>
      </c>
      <c r="E810" s="162">
        <v>34934</v>
      </c>
      <c r="F810" s="166" t="str">
        <f t="shared" si="39"/>
        <v>Date check - OK</v>
      </c>
      <c r="G810" s="68"/>
      <c r="H810" s="162" t="s">
        <v>279</v>
      </c>
      <c r="I810" s="173">
        <v>89592.114709699614</v>
      </c>
      <c r="J810" s="168">
        <f>IFERROR(MIN('MP Calculations'!$E$30/I810,1),"-")</f>
        <v>0.31014580161562261</v>
      </c>
      <c r="K810" s="12"/>
      <c r="L810" s="159">
        <v>4.999428</v>
      </c>
      <c r="M810" s="187" t="s">
        <v>408</v>
      </c>
      <c r="N810" s="187">
        <v>304.56971499999997</v>
      </c>
      <c r="O810" s="186">
        <f t="shared" si="40"/>
        <v>1522.6743611230199</v>
      </c>
      <c r="P810" s="186">
        <f t="shared" si="41"/>
        <v>472.25106033005505</v>
      </c>
      <c r="Q810" s="215">
        <f>IF(P810="-",0,P810/(1+'General inputs'!$H$30)^'MP Calculations'!$C$40)</f>
        <v>1049.0060881799996</v>
      </c>
    </row>
    <row r="811" spans="3:17" x14ac:dyDescent="0.25">
      <c r="C811" s="159"/>
      <c r="D811" s="165" t="s">
        <v>281</v>
      </c>
      <c r="E811" s="162">
        <v>34936</v>
      </c>
      <c r="F811" s="166" t="str">
        <f t="shared" si="39"/>
        <v>Date check - OK</v>
      </c>
      <c r="G811" s="68"/>
      <c r="H811" s="162" t="s">
        <v>279</v>
      </c>
      <c r="I811" s="173">
        <v>89592.114709699614</v>
      </c>
      <c r="J811" s="168">
        <f>IFERROR(MIN('MP Calculations'!$E$30/I811,1),"-")</f>
        <v>0.31014580161562261</v>
      </c>
      <c r="K811" s="12"/>
      <c r="L811" s="159">
        <v>1.9980340000000001</v>
      </c>
      <c r="M811" s="187" t="s">
        <v>408</v>
      </c>
      <c r="N811" s="187">
        <v>657.22938499999998</v>
      </c>
      <c r="O811" s="186">
        <f t="shared" si="40"/>
        <v>1313.1666570290899</v>
      </c>
      <c r="P811" s="186">
        <f t="shared" si="41"/>
        <v>407.27312549919446</v>
      </c>
      <c r="Q811" s="215">
        <f>IF(P811="-",0,P811/(1+'General inputs'!$H$30)^'MP Calculations'!$C$40)</f>
        <v>904.67131593555484</v>
      </c>
    </row>
    <row r="812" spans="3:17" x14ac:dyDescent="0.25">
      <c r="C812" s="159"/>
      <c r="D812" s="165" t="s">
        <v>284</v>
      </c>
      <c r="E812" s="162">
        <v>34943</v>
      </c>
      <c r="F812" s="166" t="str">
        <f t="shared" si="39"/>
        <v>Date check - OK</v>
      </c>
      <c r="G812" s="68"/>
      <c r="H812" s="162" t="s">
        <v>279</v>
      </c>
      <c r="I812" s="173">
        <v>89592.114709699614</v>
      </c>
      <c r="J812" s="168">
        <f>IFERROR(MIN('MP Calculations'!$E$30/I812,1),"-")</f>
        <v>0.31014580161562261</v>
      </c>
      <c r="K812" s="12"/>
      <c r="L812" s="159">
        <v>31.780649</v>
      </c>
      <c r="M812" s="187" t="s">
        <v>408</v>
      </c>
      <c r="N812" s="187">
        <v>304.56971499999997</v>
      </c>
      <c r="O812" s="186">
        <f t="shared" si="40"/>
        <v>9679.4232084450341</v>
      </c>
      <c r="P812" s="186">
        <f t="shared" si="41"/>
        <v>3002.0324701600466</v>
      </c>
      <c r="Q812" s="215">
        <f>IF(P812="-",0,P812/(1+'General inputs'!$H$30)^'MP Calculations'!$C$40)</f>
        <v>6668.3817203311273</v>
      </c>
    </row>
    <row r="813" spans="3:17" x14ac:dyDescent="0.25">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5">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5">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5">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5">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5">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5">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5">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5">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5">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5">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5">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5">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5">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5">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5">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5">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5">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5">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5">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5">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5">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5">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5">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5">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5">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5">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5">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5">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5">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5">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5">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5">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5">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5">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5">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5">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5">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5">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5">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5">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5">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5">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5">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5">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5">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5">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5">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5">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5">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5">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5">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5">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5">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5">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5">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5">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5">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5">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5">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5">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5">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5">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5">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5">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5">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5">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5">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5">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5">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5">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5">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5">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5">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5">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5">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5">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5">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5">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5">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5">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5">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5">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5">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5">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5">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5">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5">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5">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5">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5">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5">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5">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5">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5">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5">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5">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5">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5">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5">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5">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5">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5">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5">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5">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5">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5">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5">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5">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5">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5">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5">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5">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5">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5">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5">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5">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5">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5">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5">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5">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5">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5">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5">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5">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5">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5">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5">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5">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5">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5">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5">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5">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5">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5">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5">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5">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5">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5">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5">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5">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5">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5">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5">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5">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5">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5">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5">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5">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5">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5">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5">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5">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5">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5">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5">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5">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5">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5">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5">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5">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5">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5">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5">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5">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5">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5">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5">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5">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5">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5">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5">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5">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5">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5">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5">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5">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5">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5">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5">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5">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5">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5">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5">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5">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5">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5">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5">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5">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5">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5">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5">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5">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5">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5">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5">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5">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5">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5">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5">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5">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5">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5">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5">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5">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5">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5">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5">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5">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5">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5">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5">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5">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5">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5">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5">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5">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5">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5">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5">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5">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5">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5">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5">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5">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5">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5">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5">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5">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5">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5">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5">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5">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5">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5">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5">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5">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5">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5">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5">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5">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5">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5">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5">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5">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5">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5">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5">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5">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5">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5">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5">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5">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5">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5">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5">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5">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5">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5">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5">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5">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5">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5">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5">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5">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5">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5">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5">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5">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5">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5">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5">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5">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5">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5">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5">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5">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5">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5">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5">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5">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5">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5">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5">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5">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5">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5">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5">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5">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5">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5">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5">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5">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5">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5">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5">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5">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5">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5">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5">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5">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5">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5">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5">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5">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5">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5">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5">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5">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5">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5">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5">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5">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5">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5">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5">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5">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5">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5">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5">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5">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5">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5">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5">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5">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5">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5">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5">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5">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5">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5">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5">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5">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5">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5">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5">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5">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5">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5">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5">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5">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5">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5">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5">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5">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5">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5">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5">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5">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5">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5">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5">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5">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5">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5">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5">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5">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5">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5">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5">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5">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5">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5">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5">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5">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5">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5">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5">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5">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5">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5">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5">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5">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5">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5">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5">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5">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5">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5">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5">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5">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5">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5">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5">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5">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5">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5">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5">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5">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5">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5">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5">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5">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5">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5">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5">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5">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5">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5">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5">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5">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5">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5">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5">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5">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5">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5">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5">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5">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5">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5">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5">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5">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5">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5">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5">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5">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5">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5">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5">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5">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5">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5">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5">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5">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5">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5">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5">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5">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5">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5">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5">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5">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5">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5">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5">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5">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5">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5">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5">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5">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5">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5">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5">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5">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5">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5">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5">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5">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5">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5">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5">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5">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5">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5">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5">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5">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5">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5">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5">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5">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5">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5">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5">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5">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5">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5">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5">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5">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5">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5">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5">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5">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5">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5">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5">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5">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5">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5">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5">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5">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5">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5">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5">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5">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5">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5">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5">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5">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5">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5">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5">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5">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5">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5">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5">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5">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5">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5">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5">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5">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5">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5">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5">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5">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5">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5">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5">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5">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5">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5">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5">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5">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5">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5">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5">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5">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5">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5">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5">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5">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5">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5">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5">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5">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5">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5">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5">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5">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5">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5">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5">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5">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5">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5">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5">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5">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5">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5">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5">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5">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5">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5">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5">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5">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5">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5">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5">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5">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5">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5">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5">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5">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5">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5">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5">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5">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5">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5">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5">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5">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5">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5">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5">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5">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5">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5">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5">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5">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5">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5">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5">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5">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5">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5">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5">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5">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5">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5">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5">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5">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5">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5">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5">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5">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5">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5">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5">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5">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5">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5">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5">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5">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5">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5">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5">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5">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5">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5">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5">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5">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5">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5">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5">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5">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5">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5">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5">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5">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5">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5">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5">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5">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5">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5">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5">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5">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5">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5">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5">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5">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5">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5">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5">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5">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5">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5">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5">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5">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5">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5">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5">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5">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5">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5">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5">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5">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5">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5">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5">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5">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5">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5">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5">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5">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5">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5">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5">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5">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5">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5">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5">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5">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5">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5">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5">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5">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5">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5">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5">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5">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5">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5">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5">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5">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5">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5">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5">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5">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5">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5">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5">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5">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5">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5">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5">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5">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5">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5">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5">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5">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5">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5">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5">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5">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5">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5">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5">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5">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5">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5">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5">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5">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5">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5">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5">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5">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5">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5">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5">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5">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5">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5">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5">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5">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5">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5">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5">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5">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5">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5">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5">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5">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5">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5">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5">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5">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5">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5">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5">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5">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5">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5">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5">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5">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5">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5">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5">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5">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5">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5">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5">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5">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5">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5">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5">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5">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5">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5">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5">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5">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5">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5">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5">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5">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5">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5">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5">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5">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5">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5">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5">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5">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5">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5">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5">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5">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5">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5">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5">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5">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5">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5">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5">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5">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5">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5">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5">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5">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5">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5">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5">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5">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5">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5">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5">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5">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5">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5">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5">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5">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5">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5">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5">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5">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5">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5">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5">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5">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5">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5">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5">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5">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5">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5">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5">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5">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5">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5">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5">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5">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5">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5">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5">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5">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5">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5">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5">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5">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5">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5">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5">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5">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5">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5">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5">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5">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5">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5">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5">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5">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5">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5">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5">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5">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5">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5">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5">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5">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5">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5">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5">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5">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5">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5">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5">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5">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5">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5">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5">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5">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5">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5">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5">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5">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5">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5">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5">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5">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5">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5">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5">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5">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5">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5">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5">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5">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5">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5">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5">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5">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5">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5">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5">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5">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5">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5">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5">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5">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5">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5">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5">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5">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5">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5">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5">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5">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5">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5">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5">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5">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5">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5">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5">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5">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5">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5">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5">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5">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5">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5">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5">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5">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5">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5">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5">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5">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5">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5">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5">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5">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5">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5">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5">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5">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5">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5">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5">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5">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5">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5">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5">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5">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5">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5">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5">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5">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5">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5">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5">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5">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5">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5">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5">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5">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5">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5">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5">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5">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5">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5">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5">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5">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5">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5">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5">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5">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5">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5">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5">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5">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5">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5">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5">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5">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5">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5">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5">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5">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5">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5">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5">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5">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5">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5">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5">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5">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5">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5">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5">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5">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5">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5">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5">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5">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5">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5">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5">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5">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5">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5">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5">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5">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5">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5">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5">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5">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5">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5">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5">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5">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5">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5">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5">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5">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5">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5">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5">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5">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5">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5">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5">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5">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5">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5">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5">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5">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5">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5">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5">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5">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5">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5">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5">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5">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5">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5">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5">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5">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5">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5">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5">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5">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5">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5">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5">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5">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5">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5">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5">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5">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5">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5">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5">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5">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5">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5">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5">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5">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5">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5">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5">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5">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5">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5">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5">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5">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5">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5">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5">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5">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5">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5">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5">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5">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5">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5">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5">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5">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5">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5">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5">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5">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5">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5">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5">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5">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5">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5">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5">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5">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5">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5">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5">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5">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5">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5">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5">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5">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5">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5">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5">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5">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5">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5">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5">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5">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5">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5">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5">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5">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5">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5">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5">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5">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5">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5">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5">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5">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5">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5">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5">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5">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5">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5">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5">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5">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5">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5">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5">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5">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5">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5">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5">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5">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5">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5">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5">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5">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5">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5">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5">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5">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5">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5">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5">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5">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5">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5">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5">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5">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5">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5">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5">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5">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5">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5">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5">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5">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5">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5">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5">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5">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5">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5">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5">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5">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5">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5">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5">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5">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5">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5">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5">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5">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5">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5">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5">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5">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5">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5">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5">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5">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5">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5">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5">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5">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5">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5">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5">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5">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5">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5">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5">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5">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5">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5">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5">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5">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5">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5">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5">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5">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5">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5">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5">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5">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5">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5">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5">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5">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5">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5">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5">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5">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5">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5">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5">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5">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5">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5">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5">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5">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5">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5">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5">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5">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5">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5">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5">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5">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5">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5">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5">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5">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5">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5">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5">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5">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5">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5">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5">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5">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5">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5">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5">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5">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5">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5">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5">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5">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5">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5">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5">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5">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5">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5">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5">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5">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5">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5">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5">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5">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5">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5">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5">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5">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5">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5">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5">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5">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5">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5">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5">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5">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5">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5">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5">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5">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5">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5">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5">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5">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5">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5">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5">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5">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5">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5">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5">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5">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5">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5">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5">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5">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5">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5">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5">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5">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5">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5">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5">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5">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5">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5">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5">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5">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5">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5">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5">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5">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5">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5">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5">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5">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5">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5">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5">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5">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5">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5">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5">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5">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5">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5">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5">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5">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5">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5">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5">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5">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5">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5">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5">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5">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5">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5">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5">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5">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5">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5">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5">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5">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5">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5">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5">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5">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5">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5">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5">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5">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5">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5">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5">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5">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5">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5">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5">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5">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5">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5">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5">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5">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5">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5">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5">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5">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5">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5">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5">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5">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5">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5">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5">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5">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5">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5">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5">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5">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5">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5">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5">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5">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5">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5">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5">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5">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5">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5">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5">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5">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5">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5">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5">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5">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5">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5">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5">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5">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5">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5">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5">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5">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5">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5">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5">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5">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5">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5">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5">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5">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5">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5">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5">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5">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5">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5">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5">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5">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5">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5">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5">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5">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5">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5">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5">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5">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5">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5">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5">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5">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5">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5">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5">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5">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5">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5">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5">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5">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5">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5">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5">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5">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5">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5">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5">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5">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5">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5">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5">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5">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5">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5">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5">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5">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5">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5">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5">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5">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5">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5">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5">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5">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5">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5">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5">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5">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5">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5">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5">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5">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5">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5">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5">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5">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5">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5">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5">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5">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5">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5">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5">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5">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5">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5">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5">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5">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5">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5">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5">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5">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5">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5">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5">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5">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5">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5">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5">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5">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5">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5">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5">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5">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5">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5">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5">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5">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5">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5">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5">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5">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5">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5">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5">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5">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5">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5">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5">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5">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5">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5">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5">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5">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5">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5">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5">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5">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5">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5">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5">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5">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5">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5">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5">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5">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5">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5">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5">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5">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5">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5">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5">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5">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5">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5">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5">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5">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5">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5">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5">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5">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5">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5">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5">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5">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5">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5">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5">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5">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5">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5">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5">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5">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5">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5">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5">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5">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5">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5">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5">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5">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5">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5">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5">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5">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5">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5">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5">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5">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5">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5">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5">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5">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5">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5">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5">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5">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5">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5">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5">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5">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5">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5">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5">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5">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5">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5">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5">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5">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5">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5">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5">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5">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5">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5">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5">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5">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5">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5">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5">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5">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5">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5">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5">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5">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5">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5">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5">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5">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5">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5">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5">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5">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5">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5">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5">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5">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5">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5">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5">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5">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5">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5">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5">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5">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5">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5">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5">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5">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5">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5">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5">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5">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5">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5">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5">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5">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5">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5">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5">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5">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5">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5">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5">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5">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5">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5">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5">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5">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5">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5">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5">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5">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5">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5">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5">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5">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5">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5">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5">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5">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5">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5">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5">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5">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5">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5">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5">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5">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5">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5">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5">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5">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5">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5">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5">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5">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5">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5">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5">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5">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5">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5">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5">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5">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5">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5">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5">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5">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5">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5">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5">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5">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5">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5">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5">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5">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5">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5">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5">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5">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5">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5">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5">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5">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5">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5">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5">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5">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5">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5">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5">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5">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5">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5">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5">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5">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5">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5">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5">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5">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5">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5">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5">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5">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5">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5">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5">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5">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5">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5">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5">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5">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5">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5">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5">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5">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5">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5">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5">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5">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5">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5">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5">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5">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5">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5">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5">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5">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5">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5">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5">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5">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5">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5">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5">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5">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5">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5">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5">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5">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5">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5">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5">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5">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5">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5">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5">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5">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5">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5">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5">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5">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5">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5">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5">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5">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5">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5">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5">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5">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5">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5">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5">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5">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5">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5">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5">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5">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5">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5">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5">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5">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5">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5">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5">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5">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5">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5">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5">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5">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5">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5">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5">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5">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5">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5">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5">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5">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5">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5">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5">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5">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5">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5">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5">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5">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5">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5">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5">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5">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5">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5">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5">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5">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5">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5">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5">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5">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5">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5">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5">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5">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5">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5">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5">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5">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5">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5">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5">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5">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5">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5">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5">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5">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5">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5">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5">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5">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5">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5">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5">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5">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5">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5">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5">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5">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5">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5">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5">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5">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5">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5">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5">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5">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5">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5">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5">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5">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5">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5">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5">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5">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5">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5">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5">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5">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5">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5">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5">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5">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5">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5">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5">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5">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5">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5">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5">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5">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5">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5">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5">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5">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5">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5">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5">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5">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5">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5">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5">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5">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5">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5">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5">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5">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5">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5">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5">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5">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5">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5">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5">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5">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5">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5">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5">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5">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5">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5">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5">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5">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5">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5">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5">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5">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5">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5">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5">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5">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5">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5">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5">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5">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5">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5">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5">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5">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5">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5">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5">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5">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5">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5">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5">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5">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5">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5">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5">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5">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5">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5">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5">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5">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5">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5">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5">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5">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5">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5">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5">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5">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5">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5">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5">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5">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5">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5">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5">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5">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5">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5">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5">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5">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5">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5">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5">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5">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5">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5">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5">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5">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5">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5">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5">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5">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5">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5">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5">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5">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5">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5">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5">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5">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5">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5">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5">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5">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5">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5">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5">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5">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5">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5">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5">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5">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5">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5">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5">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5">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5">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5">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5">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5">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5">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5">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5">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5">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5">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5">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5">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5">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5">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5">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5">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5">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5">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5">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5">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5">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5">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5">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5">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5">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5">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5">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5">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5">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5">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5">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5">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5">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5">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5">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5">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5">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5">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5">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5">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5">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5">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5">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5">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5">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5">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5">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5">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5">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5">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5">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5">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5">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5">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5">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5">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5">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5">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5">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5">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5">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5">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5">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5">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5">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5">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5">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5">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5">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5">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5">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5">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5">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5">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5">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5">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5">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5">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5">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5">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5">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5">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5">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5">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5">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5">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5">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5">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5">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5">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5">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5">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5">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5">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5">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5">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5">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5">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5">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5">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5">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5">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5">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5">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5">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5">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5">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5">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5">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5">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5">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5">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5">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5">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5">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5">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5">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5">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5">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5">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5">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5">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5">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5">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5">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5">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5">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5">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5">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5">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5">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5">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5">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5">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5">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5">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5">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5">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5">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5">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5">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5">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5">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5">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5">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5">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5">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5">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5">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5">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5">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5">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5">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5">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5">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5">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5">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5">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5">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5">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5">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5">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5">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5">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5">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5">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5">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5">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5">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5">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5">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5">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5">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5">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5">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5">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5">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5">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5">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5">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5">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5">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5">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5">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5">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5">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5">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5">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5">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5">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5">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5">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5">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5">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5">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5">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5">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5">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5">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5">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5">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5">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5">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5">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5">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5">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5">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5">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5">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5">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5">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5">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5">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5">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5">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5">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5">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5">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5">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5">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5">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5">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5">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5">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5">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5">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5">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5">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5">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5">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5">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5">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5">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5">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5">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5">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5">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5">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5">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5">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5">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5">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5">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5">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5">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5">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5">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5">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5">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5">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5">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5">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5">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5">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5">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5">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5">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5">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5">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5">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5">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5">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5">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5">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5">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5">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5">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5">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5">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5">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5">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5">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5">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5">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5">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5">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5">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5">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5">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5">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5">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5">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5">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5">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5">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5">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5">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5">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5">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5">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5">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5">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5">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5">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5">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5">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5">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5">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5">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5">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5">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5">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5">
      <c r="O3103" s="6" t="s">
        <v>19</v>
      </c>
      <c r="P3103" s="208">
        <f>SUM(P22:P3102)</f>
        <v>24498383.067283932</v>
      </c>
      <c r="Q3103" s="208">
        <f>SUM(Q22:Q3102)</f>
        <v>54417988.96160385</v>
      </c>
    </row>
    <row r="3105" spans="16:17" x14ac:dyDescent="0.25">
      <c r="P3105" s="234" t="s">
        <v>278</v>
      </c>
      <c r="Q3105" s="233">
        <f>Q3103/J22</f>
        <v>175459376.45496961</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F22" sqref="F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x14ac:dyDescent="0.25">
      <c r="E1" s="27"/>
    </row>
    <row r="2" spans="3:5" x14ac:dyDescent="0.25">
      <c r="E2" s="27"/>
    </row>
    <row r="3" spans="3:5" ht="20" x14ac:dyDescent="0.4">
      <c r="C3" s="50" t="s">
        <v>202</v>
      </c>
    </row>
    <row r="5" spans="3:5" x14ac:dyDescent="0.25">
      <c r="D5" s="27"/>
    </row>
    <row r="6" spans="3:5"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4" t="str">
        <f ca="1">"Hyperlink to the '"&amp;MID(CELL("filename",'Asset exclusions'!A1),FIND("]",CELL("filename",'Asset exclusions'!A1))+1,255)&amp;"' worksheet:"</f>
        <v>Hyperlink to the 'Asset exclusions' worksheet:</v>
      </c>
      <c r="E7" s="134" t="s">
        <v>187</v>
      </c>
    </row>
    <row r="8" spans="3:5" x14ac:dyDescent="0.25">
      <c r="C8" s="104"/>
      <c r="E8" s="134"/>
    </row>
    <row r="9" spans="3:5" x14ac:dyDescent="0.25">
      <c r="C9" s="104" t="s">
        <v>242</v>
      </c>
      <c r="E9" s="134"/>
    </row>
    <row r="10" spans="3:5" x14ac:dyDescent="0.25">
      <c r="C10" s="104" t="s">
        <v>245</v>
      </c>
      <c r="E10" s="134"/>
    </row>
    <row r="11" spans="3:5" x14ac:dyDescent="0.25">
      <c r="C11" s="104" t="s">
        <v>244</v>
      </c>
      <c r="E11" s="134"/>
    </row>
    <row r="12" spans="3:5" x14ac:dyDescent="0.25">
      <c r="C12" s="104" t="s">
        <v>243</v>
      </c>
      <c r="E12" s="134"/>
    </row>
    <row r="14" spans="3:5" x14ac:dyDescent="0.25">
      <c r="C14" s="6" t="s">
        <v>54</v>
      </c>
    </row>
    <row r="15" spans="3:5" x14ac:dyDescent="0.25">
      <c r="C15" s="57" t="s">
        <v>58</v>
      </c>
      <c r="E15" s="82">
        <f>'General inputs'!$H$24+1</f>
        <v>35065</v>
      </c>
    </row>
    <row r="16" spans="3:5" x14ac:dyDescent="0.25">
      <c r="C16" s="57" t="s">
        <v>59</v>
      </c>
      <c r="E16" s="83">
        <f>'General inputs'!$H$18</f>
        <v>44742</v>
      </c>
    </row>
    <row r="18" spans="3:19" ht="15.5" x14ac:dyDescent="0.35">
      <c r="C18" s="2" t="s">
        <v>208</v>
      </c>
    </row>
    <row r="20" spans="3:19" x14ac:dyDescent="0.25">
      <c r="C20" s="6" t="s">
        <v>16</v>
      </c>
      <c r="H20" s="6" t="s">
        <v>17</v>
      </c>
      <c r="L20" s="6" t="s">
        <v>18</v>
      </c>
      <c r="M20" s="6"/>
      <c r="Q20" s="237" t="s">
        <v>276</v>
      </c>
    </row>
    <row r="21" spans="3:19" ht="46" x14ac:dyDescent="0.25">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5">
      <c r="C22" s="159"/>
      <c r="D22" s="165" t="s">
        <v>410</v>
      </c>
      <c r="E22" s="161">
        <v>35247</v>
      </c>
      <c r="F22" s="172" t="str">
        <f t="shared" ref="F22:F85" si="0">IF(E22="","-",IF(OR(E22&lt;$E$15,E22&gt;$E$16),"ERROR - date outside of range",IF(MONTH(E22)&gt;=7,YEAR(E22)&amp;"-"&amp;IF(YEAR(E22)=1999,"00",IF(AND(YEAR(E22)&gt;=2000,YEAR(E22)&lt;2009),"0","")&amp;RIGHT(YEAR(E22),2)+1),RIGHT(YEAR(E22),4)-1&amp;"-"&amp;RIGHT(YEAR(E22),2))))</f>
        <v>1996-97</v>
      </c>
      <c r="G22" s="68"/>
      <c r="H22" s="167" t="s">
        <v>279</v>
      </c>
      <c r="I22" s="173">
        <v>89592.114709699614</v>
      </c>
      <c r="J22" s="168">
        <f>IFERROR(MIN('MP Calculations'!$E$30/I22,1),"-")</f>
        <v>0.31014580161562261</v>
      </c>
      <c r="K22" s="12"/>
      <c r="L22" s="159">
        <v>1</v>
      </c>
      <c r="M22" s="159" t="s">
        <v>409</v>
      </c>
      <c r="N22" s="159">
        <v>2786.83</v>
      </c>
      <c r="O22" s="185">
        <f t="shared" ref="O22:O85" si="1">IF(N22="","-",L22*N22)</f>
        <v>2786.83</v>
      </c>
      <c r="P22" s="215">
        <f t="shared" ref="P22" si="2">IF(O22="-","-",IF(OR(E22&lt;$E$15,E22&gt;$E$16),0,O22*J22))</f>
        <v>864.3236243164655</v>
      </c>
      <c r="Q22" s="215" cm="1">
        <f t="array" ref="Q22">IF(P22="-",0,P22/(1+'General inputs'!$H$32)^IFERROR(INDEX('MP Calculations'!$C$40:$C$130,MATCH(F22,'MP Calculations'!$D$40:$D$130,0),0),-1))</f>
        <v>2519.0516755758254</v>
      </c>
      <c r="R22" s="201"/>
      <c r="S22" s="200"/>
    </row>
    <row r="23" spans="3:19" x14ac:dyDescent="0.25">
      <c r="C23" s="159"/>
      <c r="D23" s="165" t="s">
        <v>411</v>
      </c>
      <c r="E23" s="161">
        <v>35247</v>
      </c>
      <c r="F23" s="172" t="str">
        <f t="shared" si="0"/>
        <v>1996-97</v>
      </c>
      <c r="G23" s="68"/>
      <c r="H23" s="167" t="s">
        <v>279</v>
      </c>
      <c r="I23" s="173">
        <v>89592.114709699614</v>
      </c>
      <c r="J23" s="168">
        <f>IFERROR(MIN('MP Calculations'!$E$30/I23,1),"-")</f>
        <v>0.31014580161562261</v>
      </c>
      <c r="K23" s="12"/>
      <c r="L23" s="159">
        <v>1</v>
      </c>
      <c r="M23" s="159" t="s">
        <v>409</v>
      </c>
      <c r="N23" s="159">
        <v>4503.91</v>
      </c>
      <c r="O23" s="185">
        <f t="shared" si="1"/>
        <v>4503.91</v>
      </c>
      <c r="P23" s="215">
        <f t="shared" ref="P23:P86" si="3">IF(O23="-","-",IF(OR(E23&lt;$E$15,E23&gt;$E$16),0,O23*J23))</f>
        <v>1396.8687773546187</v>
      </c>
      <c r="Q23" s="215" cm="1">
        <f t="array" ref="Q23">IF(P23="-",0,P23/(1+'General inputs'!$H$32)^IFERROR(INDEX('MP Calculations'!$C$40:$C$130,MATCH(F23,'MP Calculations'!$D$40:$D$130,0),0),-1))</f>
        <v>4071.1424924170883</v>
      </c>
    </row>
    <row r="24" spans="3:19" x14ac:dyDescent="0.25">
      <c r="C24" s="159"/>
      <c r="D24" s="165" t="s">
        <v>412</v>
      </c>
      <c r="E24" s="161">
        <v>35247</v>
      </c>
      <c r="F24" s="172" t="str">
        <f t="shared" si="0"/>
        <v>1996-97</v>
      </c>
      <c r="G24" s="68"/>
      <c r="H24" s="167" t="s">
        <v>279</v>
      </c>
      <c r="I24" s="173">
        <v>89592.114709699614</v>
      </c>
      <c r="J24" s="168">
        <f>IFERROR(MIN('MP Calculations'!$E$30/I24,1),"-")</f>
        <v>0.31014580161562261</v>
      </c>
      <c r="K24" s="12"/>
      <c r="L24" s="159">
        <v>1</v>
      </c>
      <c r="M24" s="159" t="s">
        <v>409</v>
      </c>
      <c r="N24" s="159">
        <v>41654.800000000003</v>
      </c>
      <c r="O24" s="185">
        <f t="shared" si="1"/>
        <v>41654.800000000003</v>
      </c>
      <c r="P24" s="215">
        <f t="shared" si="3"/>
        <v>12919.061337138437</v>
      </c>
      <c r="Q24" s="215" cm="1">
        <f t="array" ref="Q24">IF(P24="-",0,P24/(1+'General inputs'!$H$32)^IFERROR(INDEX('MP Calculations'!$C$40:$C$130,MATCH(F24,'MP Calculations'!$D$40:$D$130,0),0),-1))</f>
        <v>37652.312389265186</v>
      </c>
    </row>
    <row r="25" spans="3:19" x14ac:dyDescent="0.25">
      <c r="C25" s="159"/>
      <c r="D25" s="165" t="s">
        <v>413</v>
      </c>
      <c r="E25" s="161">
        <v>35247</v>
      </c>
      <c r="F25" s="172" t="str">
        <f t="shared" si="0"/>
        <v>1996-97</v>
      </c>
      <c r="G25" s="68"/>
      <c r="H25" s="167" t="s">
        <v>279</v>
      </c>
      <c r="I25" s="173">
        <v>89592.114709699614</v>
      </c>
      <c r="J25" s="168">
        <f>IFERROR(MIN('MP Calculations'!$E$30/I25,1),"-")</f>
        <v>0.31014580161562261</v>
      </c>
      <c r="K25" s="12"/>
      <c r="L25" s="159">
        <v>1</v>
      </c>
      <c r="M25" s="159" t="s">
        <v>409</v>
      </c>
      <c r="N25" s="159">
        <v>62432.09</v>
      </c>
      <c r="O25" s="185">
        <f t="shared" si="1"/>
        <v>62432.09</v>
      </c>
      <c r="P25" s="215">
        <f t="shared" si="3"/>
        <v>19363.050599588696</v>
      </c>
      <c r="Q25" s="215" cm="1">
        <f t="array" ref="Q25">IF(P25="-",0,P25/(1+'General inputs'!$H$32)^IFERROR(INDEX('MP Calculations'!$C$40:$C$130,MATCH(F25,'MP Calculations'!$D$40:$D$130,0),0),-1))</f>
        <v>56433.173506888015</v>
      </c>
    </row>
    <row r="26" spans="3:19" x14ac:dyDescent="0.25">
      <c r="C26" s="159"/>
      <c r="D26" s="165" t="s">
        <v>414</v>
      </c>
      <c r="E26" s="161">
        <v>35431</v>
      </c>
      <c r="F26" s="172" t="str">
        <f t="shared" si="0"/>
        <v>1996-97</v>
      </c>
      <c r="G26" s="68"/>
      <c r="H26" s="167" t="s">
        <v>279</v>
      </c>
      <c r="I26" s="173">
        <v>89592.114709699614</v>
      </c>
      <c r="J26" s="168">
        <f>IFERROR(MIN('MP Calculations'!$E$30/I26,1),"-")</f>
        <v>0.31014580161562261</v>
      </c>
      <c r="K26" s="12"/>
      <c r="L26" s="159">
        <v>1</v>
      </c>
      <c r="M26" s="159" t="s">
        <v>409</v>
      </c>
      <c r="N26" s="159">
        <v>47523.25</v>
      </c>
      <c r="O26" s="185">
        <f t="shared" si="1"/>
        <v>47523.25</v>
      </c>
      <c r="P26" s="215">
        <f t="shared" si="3"/>
        <v>14739.136466629638</v>
      </c>
      <c r="Q26" s="215" cm="1">
        <f t="array" ref="Q26">IF(P26="-",0,P26/(1+'General inputs'!$H$32)^IFERROR(INDEX('MP Calculations'!$C$40:$C$130,MATCH(F26,'MP Calculations'!$D$40:$D$130,0),0),-1))</f>
        <v>42956.880233566037</v>
      </c>
    </row>
    <row r="27" spans="3:19" x14ac:dyDescent="0.25">
      <c r="C27" s="159"/>
      <c r="D27" s="165" t="s">
        <v>415</v>
      </c>
      <c r="E27" s="161">
        <v>35431</v>
      </c>
      <c r="F27" s="172" t="str">
        <f t="shared" si="0"/>
        <v>1996-97</v>
      </c>
      <c r="G27" s="68"/>
      <c r="H27" s="167" t="s">
        <v>279</v>
      </c>
      <c r="I27" s="173">
        <v>89592.114709699614</v>
      </c>
      <c r="J27" s="168">
        <f>IFERROR(MIN('MP Calculations'!$E$30/I27,1),"-")</f>
        <v>0.31014580161562261</v>
      </c>
      <c r="K27" s="12"/>
      <c r="L27" s="159">
        <v>1</v>
      </c>
      <c r="M27" s="159" t="s">
        <v>409</v>
      </c>
      <c r="N27" s="159">
        <v>13368.89</v>
      </c>
      <c r="O27" s="185">
        <f t="shared" si="1"/>
        <v>13368.89</v>
      </c>
      <c r="P27" s="215">
        <f t="shared" si="3"/>
        <v>4146.305105761081</v>
      </c>
      <c r="Q27" s="215" cm="1">
        <f t="array" ref="Q27">IF(P27="-",0,P27/(1+'General inputs'!$H$32)^IFERROR(INDEX('MP Calculations'!$C$40:$C$130,MATCH(F27,'MP Calculations'!$D$40:$D$130,0),0),-1))</f>
        <v>12084.312554080763</v>
      </c>
    </row>
    <row r="28" spans="3:19" x14ac:dyDescent="0.25">
      <c r="C28" s="159"/>
      <c r="D28" s="165" t="s">
        <v>416</v>
      </c>
      <c r="E28" s="161">
        <v>35431</v>
      </c>
      <c r="F28" s="172" t="str">
        <f t="shared" si="0"/>
        <v>1996-97</v>
      </c>
      <c r="G28" s="68"/>
      <c r="H28" s="167" t="s">
        <v>279</v>
      </c>
      <c r="I28" s="173">
        <v>89592.114709699614</v>
      </c>
      <c r="J28" s="168">
        <f>IFERROR(MIN('MP Calculations'!$E$30/I28,1),"-")</f>
        <v>0.31014580161562261</v>
      </c>
      <c r="K28" s="12"/>
      <c r="L28" s="159">
        <v>1</v>
      </c>
      <c r="M28" s="159" t="s">
        <v>409</v>
      </c>
      <c r="N28" s="159">
        <v>21930.959999999999</v>
      </c>
      <c r="O28" s="185">
        <f t="shared" si="1"/>
        <v>21930.959999999999</v>
      </c>
      <c r="P28" s="215">
        <f t="shared" si="3"/>
        <v>6801.7951694001549</v>
      </c>
      <c r="Q28" s="215" cm="1">
        <f t="array" ref="Q28">IF(P28="-",0,P28/(1+'General inputs'!$H$32)^IFERROR(INDEX('MP Calculations'!$C$40:$C$130,MATCH(F28,'MP Calculations'!$D$40:$D$130,0),0),-1))</f>
        <v>19823.678349589463</v>
      </c>
    </row>
    <row r="29" spans="3:19" x14ac:dyDescent="0.25">
      <c r="C29" s="159"/>
      <c r="D29" s="165" t="s">
        <v>417</v>
      </c>
      <c r="E29" s="161">
        <v>35431</v>
      </c>
      <c r="F29" s="172" t="str">
        <f t="shared" si="0"/>
        <v>1996-97</v>
      </c>
      <c r="G29" s="68"/>
      <c r="H29" s="167" t="s">
        <v>279</v>
      </c>
      <c r="I29" s="173">
        <v>89592.114709699614</v>
      </c>
      <c r="J29" s="168">
        <f>IFERROR(MIN('MP Calculations'!$E$30/I29,1),"-")</f>
        <v>0.31014580161562261</v>
      </c>
      <c r="K29" s="12"/>
      <c r="L29" s="159">
        <v>1</v>
      </c>
      <c r="M29" s="159" t="s">
        <v>409</v>
      </c>
      <c r="N29" s="159">
        <v>541702.66</v>
      </c>
      <c r="O29" s="185">
        <f t="shared" si="1"/>
        <v>541702.66</v>
      </c>
      <c r="P29" s="215">
        <f t="shared" si="3"/>
        <v>168006.80572301507</v>
      </c>
      <c r="Q29" s="215" cm="1">
        <f t="array" ref="Q29">IF(P29="-",0,P29/(1+'General inputs'!$H$32)^IFERROR(INDEX('MP Calculations'!$C$40:$C$130,MATCH(F29,'MP Calculations'!$D$40:$D$130,0),0),-1))</f>
        <v>489652.03953484126</v>
      </c>
      <c r="R29" s="202"/>
    </row>
    <row r="30" spans="3:19" x14ac:dyDescent="0.25">
      <c r="C30" s="159"/>
      <c r="D30" s="165" t="s">
        <v>281</v>
      </c>
      <c r="E30" s="161">
        <v>35863</v>
      </c>
      <c r="F30" s="172" t="str">
        <f t="shared" si="0"/>
        <v>1997-98</v>
      </c>
      <c r="G30" s="68"/>
      <c r="H30" s="167" t="s">
        <v>279</v>
      </c>
      <c r="I30" s="173">
        <v>89592.114709699614</v>
      </c>
      <c r="J30" s="168">
        <f>IFERROR(MIN('MP Calculations'!$E$30/I30,1),"-")</f>
        <v>0.31014580161562261</v>
      </c>
      <c r="K30" s="12"/>
      <c r="L30" s="159">
        <v>8.2290349999999997</v>
      </c>
      <c r="M30" s="159" t="s">
        <v>408</v>
      </c>
      <c r="N30" s="159">
        <v>809</v>
      </c>
      <c r="O30" s="185">
        <f t="shared" si="1"/>
        <v>6657.289315</v>
      </c>
      <c r="P30" s="215">
        <f t="shared" si="3"/>
        <v>2064.730331187794</v>
      </c>
      <c r="Q30" s="215" cm="1">
        <f t="array" ref="Q30">IF(P30="-",0,P30/(1+'General inputs'!$H$32)^IFERROR(INDEX('MP Calculations'!$C$40:$C$130,MATCH(F30,'MP Calculations'!$D$40:$D$130,0),0),-1))</f>
        <v>5775.0574877144709</v>
      </c>
    </row>
    <row r="31" spans="3:19" x14ac:dyDescent="0.25">
      <c r="C31" s="159"/>
      <c r="D31" s="165" t="s">
        <v>281</v>
      </c>
      <c r="E31" s="161">
        <v>35863</v>
      </c>
      <c r="F31" s="172" t="str">
        <f t="shared" si="0"/>
        <v>1997-98</v>
      </c>
      <c r="G31" s="68"/>
      <c r="H31" s="167" t="s">
        <v>279</v>
      </c>
      <c r="I31" s="173">
        <v>89592.114709699614</v>
      </c>
      <c r="J31" s="168">
        <f>IFERROR(MIN('MP Calculations'!$E$30/I31,1),"-")</f>
        <v>0.31014580161562261</v>
      </c>
      <c r="K31" s="12"/>
      <c r="L31" s="159">
        <v>4.8109229999999998</v>
      </c>
      <c r="M31" s="159" t="s">
        <v>408</v>
      </c>
      <c r="N31" s="159">
        <v>809</v>
      </c>
      <c r="O31" s="185">
        <f t="shared" si="1"/>
        <v>3892.0367069999998</v>
      </c>
      <c r="P31" s="215">
        <f t="shared" si="3"/>
        <v>1207.098844409943</v>
      </c>
      <c r="Q31" s="215" cm="1">
        <f t="array" ref="Q31">IF(P31="-",0,P31/(1+'General inputs'!$H$32)^IFERROR(INDEX('MP Calculations'!$C$40:$C$130,MATCH(F31,'MP Calculations'!$D$40:$D$130,0),0),-1))</f>
        <v>3376.2594148606445</v>
      </c>
    </row>
    <row r="32" spans="3:19" x14ac:dyDescent="0.25">
      <c r="C32" s="159"/>
      <c r="D32" s="165" t="s">
        <v>418</v>
      </c>
      <c r="E32" s="161">
        <v>35977</v>
      </c>
      <c r="F32" s="172" t="str">
        <f t="shared" si="0"/>
        <v>1998-99</v>
      </c>
      <c r="G32" s="68"/>
      <c r="H32" s="167" t="s">
        <v>279</v>
      </c>
      <c r="I32" s="173">
        <v>89592.114709699614</v>
      </c>
      <c r="J32" s="168">
        <f>IFERROR(MIN('MP Calculations'!$E$30/I32,1),"-")</f>
        <v>0.31014580161562261</v>
      </c>
      <c r="K32" s="12"/>
      <c r="L32" s="159">
        <v>1</v>
      </c>
      <c r="M32" s="159" t="s">
        <v>409</v>
      </c>
      <c r="N32" s="159">
        <v>2731.19</v>
      </c>
      <c r="O32" s="185">
        <f t="shared" si="1"/>
        <v>2731.19</v>
      </c>
      <c r="P32" s="215">
        <f t="shared" si="3"/>
        <v>847.06711191457237</v>
      </c>
      <c r="Q32" s="215" cm="1">
        <f t="array" ref="Q32">IF(P32="-",0,P32/(1+'General inputs'!$H$32)^IFERROR(INDEX('MP Calculations'!$C$40:$C$130,MATCH(F32,'MP Calculations'!$D$40:$D$130,0),0),-1))</f>
        <v>2273.7519019358861</v>
      </c>
    </row>
    <row r="33" spans="3:17" x14ac:dyDescent="0.25">
      <c r="C33" s="159"/>
      <c r="D33" s="165" t="s">
        <v>419</v>
      </c>
      <c r="E33" s="161">
        <v>35977</v>
      </c>
      <c r="F33" s="172" t="str">
        <f t="shared" si="0"/>
        <v>1998-99</v>
      </c>
      <c r="G33" s="68"/>
      <c r="H33" s="167" t="s">
        <v>279</v>
      </c>
      <c r="I33" s="173">
        <v>89592.114709699614</v>
      </c>
      <c r="J33" s="168">
        <f>IFERROR(MIN('MP Calculations'!$E$30/I33,1),"-")</f>
        <v>0.31014580161562261</v>
      </c>
      <c r="K33" s="12"/>
      <c r="L33" s="159">
        <v>1</v>
      </c>
      <c r="M33" s="159" t="s">
        <v>409</v>
      </c>
      <c r="N33" s="159">
        <v>2141.7600000000002</v>
      </c>
      <c r="O33" s="185">
        <f t="shared" si="1"/>
        <v>2141.7600000000002</v>
      </c>
      <c r="P33" s="215">
        <f t="shared" si="3"/>
        <v>664.2578720682759</v>
      </c>
      <c r="Q33" s="215" cm="1">
        <f t="array" ref="Q33">IF(P33="-",0,P33/(1+'General inputs'!$H$32)^IFERROR(INDEX('MP Calculations'!$C$40:$C$130,MATCH(F33,'MP Calculations'!$D$40:$D$130,0),0),-1))</f>
        <v>1783.0436086431932</v>
      </c>
    </row>
    <row r="34" spans="3:17" x14ac:dyDescent="0.25">
      <c r="C34" s="159"/>
      <c r="D34" s="165" t="s">
        <v>420</v>
      </c>
      <c r="E34" s="161">
        <v>35977</v>
      </c>
      <c r="F34" s="172" t="str">
        <f t="shared" si="0"/>
        <v>1998-99</v>
      </c>
      <c r="G34" s="68"/>
      <c r="H34" s="167" t="s">
        <v>279</v>
      </c>
      <c r="I34" s="173">
        <v>89592.114709699614</v>
      </c>
      <c r="J34" s="168">
        <f>IFERROR(MIN('MP Calculations'!$E$30/I34,1),"-")</f>
        <v>0.31014580161562261</v>
      </c>
      <c r="K34" s="12"/>
      <c r="L34" s="159">
        <v>1</v>
      </c>
      <c r="M34" s="159" t="s">
        <v>409</v>
      </c>
      <c r="N34" s="159">
        <v>2978.07</v>
      </c>
      <c r="O34" s="185">
        <f t="shared" si="1"/>
        <v>2978.07</v>
      </c>
      <c r="P34" s="215">
        <f t="shared" si="3"/>
        <v>923.63590741743724</v>
      </c>
      <c r="Q34" s="215" cm="1">
        <f t="array" ref="Q34">IF(P34="-",0,P34/(1+'General inputs'!$H$32)^IFERROR(INDEX('MP Calculations'!$C$40:$C$130,MATCH(F34,'MP Calculations'!$D$40:$D$130,0),0),-1))</f>
        <v>2479.2827765912307</v>
      </c>
    </row>
    <row r="35" spans="3:17" x14ac:dyDescent="0.25">
      <c r="C35" s="159"/>
      <c r="D35" s="165" t="s">
        <v>421</v>
      </c>
      <c r="E35" s="161">
        <v>35977</v>
      </c>
      <c r="F35" s="172" t="str">
        <f t="shared" si="0"/>
        <v>1998-99</v>
      </c>
      <c r="G35" s="68"/>
      <c r="H35" s="167" t="s">
        <v>279</v>
      </c>
      <c r="I35" s="173">
        <v>89592.114709699614</v>
      </c>
      <c r="J35" s="168">
        <f>IFERROR(MIN('MP Calculations'!$E$30/I35,1),"-")</f>
        <v>0.31014580161562261</v>
      </c>
      <c r="K35" s="12"/>
      <c r="L35" s="159">
        <v>1</v>
      </c>
      <c r="M35" s="159" t="s">
        <v>409</v>
      </c>
      <c r="N35" s="159">
        <v>3385.35</v>
      </c>
      <c r="O35" s="185">
        <f t="shared" si="1"/>
        <v>3385.35</v>
      </c>
      <c r="P35" s="215">
        <f t="shared" si="3"/>
        <v>1049.952089499448</v>
      </c>
      <c r="Q35" s="215" cm="1">
        <f t="array" ref="Q35">IF(P35="-",0,P35/(1+'General inputs'!$H$32)^IFERROR(INDEX('MP Calculations'!$C$40:$C$130,MATCH(F35,'MP Calculations'!$D$40:$D$130,0),0),-1))</f>
        <v>2818.3487788175303</v>
      </c>
    </row>
    <row r="36" spans="3:17" x14ac:dyDescent="0.25">
      <c r="C36" s="159"/>
      <c r="D36" s="165" t="s">
        <v>422</v>
      </c>
      <c r="E36" s="161">
        <v>35977</v>
      </c>
      <c r="F36" s="172" t="str">
        <f t="shared" si="0"/>
        <v>1998-99</v>
      </c>
      <c r="G36" s="68"/>
      <c r="H36" s="167" t="s">
        <v>279</v>
      </c>
      <c r="I36" s="173">
        <v>89592.114709699614</v>
      </c>
      <c r="J36" s="168">
        <f>IFERROR(MIN('MP Calculations'!$E$30/I36,1),"-")</f>
        <v>0.31014580161562261</v>
      </c>
      <c r="K36" s="12"/>
      <c r="L36" s="159">
        <v>1</v>
      </c>
      <c r="M36" s="159" t="s">
        <v>409</v>
      </c>
      <c r="N36" s="159">
        <v>1644.16</v>
      </c>
      <c r="O36" s="185">
        <f t="shared" si="1"/>
        <v>1644.16</v>
      </c>
      <c r="P36" s="215">
        <f t="shared" si="3"/>
        <v>509.92932118434209</v>
      </c>
      <c r="Q36" s="215" cm="1">
        <f t="array" ref="Q36">IF(P36="-",0,P36/(1+'General inputs'!$H$32)^IFERROR(INDEX('MP Calculations'!$C$40:$C$130,MATCH(F36,'MP Calculations'!$D$40:$D$130,0),0),-1))</f>
        <v>1368.7850083981364</v>
      </c>
    </row>
    <row r="37" spans="3:17" x14ac:dyDescent="0.25">
      <c r="C37" s="159"/>
      <c r="D37" s="165" t="s">
        <v>423</v>
      </c>
      <c r="E37" s="161">
        <v>35977</v>
      </c>
      <c r="F37" s="172" t="str">
        <f t="shared" si="0"/>
        <v>1998-99</v>
      </c>
      <c r="G37" s="68"/>
      <c r="H37" s="167" t="s">
        <v>279</v>
      </c>
      <c r="I37" s="173">
        <v>89592.114709699614</v>
      </c>
      <c r="J37" s="168">
        <f>IFERROR(MIN('MP Calculations'!$E$30/I37,1),"-")</f>
        <v>0.31014580161562261</v>
      </c>
      <c r="K37" s="12"/>
      <c r="L37" s="159">
        <v>1</v>
      </c>
      <c r="M37" s="159" t="s">
        <v>409</v>
      </c>
      <c r="N37" s="159">
        <v>4240.2700000000004</v>
      </c>
      <c r="O37" s="185">
        <f t="shared" si="1"/>
        <v>4240.2700000000004</v>
      </c>
      <c r="P37" s="215">
        <f t="shared" si="3"/>
        <v>1315.1019382166762</v>
      </c>
      <c r="Q37" s="215" cm="1">
        <f t="array" ref="Q37">IF(P37="-",0,P37/(1+'General inputs'!$H$32)^IFERROR(INDEX('MP Calculations'!$C$40:$C$130,MATCH(F37,'MP Calculations'!$D$40:$D$130,0),0),-1))</f>
        <v>3530.08101861155</v>
      </c>
    </row>
    <row r="38" spans="3:17" x14ac:dyDescent="0.25">
      <c r="C38" s="159"/>
      <c r="D38" s="165" t="s">
        <v>424</v>
      </c>
      <c r="E38" s="161">
        <v>35977</v>
      </c>
      <c r="F38" s="172" t="str">
        <f t="shared" si="0"/>
        <v>1998-99</v>
      </c>
      <c r="G38" s="68"/>
      <c r="H38" s="167" t="s">
        <v>279</v>
      </c>
      <c r="I38" s="173">
        <v>89592.114709699614</v>
      </c>
      <c r="J38" s="168">
        <f>IFERROR(MIN('MP Calculations'!$E$30/I38,1),"-")</f>
        <v>0.31014580161562261</v>
      </c>
      <c r="K38" s="12"/>
      <c r="L38" s="159">
        <v>1</v>
      </c>
      <c r="M38" s="159" t="s">
        <v>409</v>
      </c>
      <c r="N38" s="159">
        <v>2978.07</v>
      </c>
      <c r="O38" s="185">
        <f t="shared" si="1"/>
        <v>2978.07</v>
      </c>
      <c r="P38" s="215">
        <f t="shared" si="3"/>
        <v>923.63590741743724</v>
      </c>
      <c r="Q38" s="215" cm="1">
        <f t="array" ref="Q38">IF(P38="-",0,P38/(1+'General inputs'!$H$32)^IFERROR(INDEX('MP Calculations'!$C$40:$C$130,MATCH(F38,'MP Calculations'!$D$40:$D$130,0),0),-1))</f>
        <v>2479.2827765912307</v>
      </c>
    </row>
    <row r="39" spans="3:17" x14ac:dyDescent="0.25">
      <c r="C39" s="159"/>
      <c r="D39" s="165" t="s">
        <v>425</v>
      </c>
      <c r="E39" s="161">
        <v>35977</v>
      </c>
      <c r="F39" s="172" t="str">
        <f t="shared" si="0"/>
        <v>1998-99</v>
      </c>
      <c r="G39" s="68"/>
      <c r="H39" s="167" t="s">
        <v>279</v>
      </c>
      <c r="I39" s="173">
        <v>89592.114709699614</v>
      </c>
      <c r="J39" s="168">
        <f>IFERROR(MIN('MP Calculations'!$E$30/I39,1),"-")</f>
        <v>0.31014580161562261</v>
      </c>
      <c r="K39" s="12"/>
      <c r="L39" s="159">
        <v>1</v>
      </c>
      <c r="M39" s="159" t="s">
        <v>409</v>
      </c>
      <c r="N39" s="159">
        <v>3874.83</v>
      </c>
      <c r="O39" s="185">
        <f t="shared" si="1"/>
        <v>3874.83</v>
      </c>
      <c r="P39" s="215">
        <f t="shared" si="3"/>
        <v>1201.7622564742628</v>
      </c>
      <c r="Q39" s="215" cm="1">
        <f t="array" ref="Q39">IF(P39="-",0,P39/(1+'General inputs'!$H$32)^IFERROR(INDEX('MP Calculations'!$C$40:$C$130,MATCH(F39,'MP Calculations'!$D$40:$D$130,0),0),-1))</f>
        <v>3225.8473713576232</v>
      </c>
    </row>
    <row r="40" spans="3:17" x14ac:dyDescent="0.25">
      <c r="C40" s="159"/>
      <c r="D40" s="165" t="s">
        <v>426</v>
      </c>
      <c r="E40" s="161">
        <v>35977</v>
      </c>
      <c r="F40" s="172" t="str">
        <f t="shared" si="0"/>
        <v>1998-99</v>
      </c>
      <c r="G40" s="68"/>
      <c r="H40" s="167" t="s">
        <v>279</v>
      </c>
      <c r="I40" s="173">
        <v>89592.114709699614</v>
      </c>
      <c r="J40" s="168">
        <f>IFERROR(MIN('MP Calculations'!$E$30/I40,1),"-")</f>
        <v>0.31014580161562261</v>
      </c>
      <c r="K40" s="12"/>
      <c r="L40" s="159">
        <v>1</v>
      </c>
      <c r="M40" s="159" t="s">
        <v>409</v>
      </c>
      <c r="N40" s="159">
        <v>2978.07</v>
      </c>
      <c r="O40" s="185">
        <f t="shared" si="1"/>
        <v>2978.07</v>
      </c>
      <c r="P40" s="215">
        <f t="shared" si="3"/>
        <v>923.63590741743724</v>
      </c>
      <c r="Q40" s="215" cm="1">
        <f t="array" ref="Q40">IF(P40="-",0,P40/(1+'General inputs'!$H$32)^IFERROR(INDEX('MP Calculations'!$C$40:$C$130,MATCH(F40,'MP Calculations'!$D$40:$D$130,0),0),-1))</f>
        <v>2479.2827765912307</v>
      </c>
    </row>
    <row r="41" spans="3:17" x14ac:dyDescent="0.25">
      <c r="C41" s="159"/>
      <c r="D41" s="165" t="s">
        <v>427</v>
      </c>
      <c r="E41" s="161">
        <v>35977</v>
      </c>
      <c r="F41" s="172" t="str">
        <f t="shared" si="0"/>
        <v>1998-99</v>
      </c>
      <c r="G41" s="68"/>
      <c r="H41" s="167" t="s">
        <v>279</v>
      </c>
      <c r="I41" s="173">
        <v>89592.114709699614</v>
      </c>
      <c r="J41" s="168">
        <f>IFERROR(MIN('MP Calculations'!$E$30/I41,1),"-")</f>
        <v>0.31014580161562261</v>
      </c>
      <c r="K41" s="12"/>
      <c r="L41" s="159">
        <v>1</v>
      </c>
      <c r="M41" s="159" t="s">
        <v>409</v>
      </c>
      <c r="N41" s="159">
        <v>3534.93</v>
      </c>
      <c r="O41" s="185">
        <f t="shared" si="1"/>
        <v>3534.93</v>
      </c>
      <c r="P41" s="215">
        <f t="shared" si="3"/>
        <v>1096.3436985051128</v>
      </c>
      <c r="Q41" s="215" cm="1">
        <f t="array" ref="Q41">IF(P41="-",0,P41/(1+'General inputs'!$H$32)^IFERROR(INDEX('MP Calculations'!$C$40:$C$130,MATCH(F41,'MP Calculations'!$D$40:$D$130,0),0),-1))</f>
        <v>2942.8761128702949</v>
      </c>
    </row>
    <row r="42" spans="3:17" x14ac:dyDescent="0.25">
      <c r="C42" s="159"/>
      <c r="D42" s="165" t="s">
        <v>428</v>
      </c>
      <c r="E42" s="161">
        <v>35977</v>
      </c>
      <c r="F42" s="172" t="str">
        <f t="shared" si="0"/>
        <v>1998-99</v>
      </c>
      <c r="G42" s="68"/>
      <c r="H42" s="167" t="s">
        <v>279</v>
      </c>
      <c r="I42" s="173">
        <v>89592.114709699614</v>
      </c>
      <c r="J42" s="168">
        <f>IFERROR(MIN('MP Calculations'!$E$30/I42,1),"-")</f>
        <v>0.31014580161562261</v>
      </c>
      <c r="K42" s="12"/>
      <c r="L42" s="159">
        <v>1</v>
      </c>
      <c r="M42" s="159" t="s">
        <v>409</v>
      </c>
      <c r="N42" s="159">
        <v>3359.14</v>
      </c>
      <c r="O42" s="185">
        <f t="shared" si="1"/>
        <v>3359.14</v>
      </c>
      <c r="P42" s="215">
        <f t="shared" si="3"/>
        <v>1041.8231680391025</v>
      </c>
      <c r="Q42" s="215" cm="1">
        <f t="array" ref="Q42">IF(P42="-",0,P42/(1+'General inputs'!$H$32)^IFERROR(INDEX('MP Calculations'!$C$40:$C$130,MATCH(F42,'MP Calculations'!$D$40:$D$130,0),0),-1))</f>
        <v>2796.5286061639472</v>
      </c>
    </row>
    <row r="43" spans="3:17" x14ac:dyDescent="0.25">
      <c r="C43" s="159"/>
      <c r="D43" s="165" t="s">
        <v>429</v>
      </c>
      <c r="E43" s="161">
        <v>35977</v>
      </c>
      <c r="F43" s="172" t="str">
        <f t="shared" si="0"/>
        <v>1998-99</v>
      </c>
      <c r="G43" s="68"/>
      <c r="H43" s="167" t="s">
        <v>279</v>
      </c>
      <c r="I43" s="173">
        <v>89592.114709699614</v>
      </c>
      <c r="J43" s="168">
        <f>IFERROR(MIN('MP Calculations'!$E$30/I43,1),"-")</f>
        <v>0.31014580161562261</v>
      </c>
      <c r="K43" s="12"/>
      <c r="L43" s="159">
        <v>1</v>
      </c>
      <c r="M43" s="159" t="s">
        <v>409</v>
      </c>
      <c r="N43" s="159">
        <v>3874.83</v>
      </c>
      <c r="O43" s="185">
        <f t="shared" si="1"/>
        <v>3874.83</v>
      </c>
      <c r="P43" s="215">
        <f t="shared" si="3"/>
        <v>1201.7622564742628</v>
      </c>
      <c r="Q43" s="215" cm="1">
        <f t="array" ref="Q43">IF(P43="-",0,P43/(1+'General inputs'!$H$32)^IFERROR(INDEX('MP Calculations'!$C$40:$C$130,MATCH(F43,'MP Calculations'!$D$40:$D$130,0),0),-1))</f>
        <v>3225.8473713576232</v>
      </c>
    </row>
    <row r="44" spans="3:17" x14ac:dyDescent="0.25">
      <c r="C44" s="159"/>
      <c r="D44" s="165" t="s">
        <v>430</v>
      </c>
      <c r="E44" s="161">
        <v>35977</v>
      </c>
      <c r="F44" s="172" t="str">
        <f t="shared" si="0"/>
        <v>1998-99</v>
      </c>
      <c r="G44" s="68"/>
      <c r="H44" s="167" t="s">
        <v>279</v>
      </c>
      <c r="I44" s="173">
        <v>89592.114709699614</v>
      </c>
      <c r="J44" s="168">
        <f>IFERROR(MIN('MP Calculations'!$E$30/I44,1),"-")</f>
        <v>0.31014580161562261</v>
      </c>
      <c r="K44" s="12"/>
      <c r="L44" s="159">
        <v>1</v>
      </c>
      <c r="M44" s="159" t="s">
        <v>409</v>
      </c>
      <c r="N44" s="159">
        <v>13342.38</v>
      </c>
      <c r="O44" s="185">
        <f t="shared" si="1"/>
        <v>13342.38</v>
      </c>
      <c r="P44" s="215">
        <f t="shared" si="3"/>
        <v>4138.0831405602503</v>
      </c>
      <c r="Q44" s="215" cm="1">
        <f t="array" ref="Q44">IF(P44="-",0,P44/(1+'General inputs'!$H$32)^IFERROR(INDEX('MP Calculations'!$C$40:$C$130,MATCH(F44,'MP Calculations'!$D$40:$D$130,0),0),-1))</f>
        <v>11107.708325437381</v>
      </c>
    </row>
    <row r="45" spans="3:17" x14ac:dyDescent="0.25">
      <c r="C45" s="159"/>
      <c r="D45" s="165" t="s">
        <v>431</v>
      </c>
      <c r="E45" s="161">
        <v>35977</v>
      </c>
      <c r="F45" s="172" t="str">
        <f t="shared" si="0"/>
        <v>1998-99</v>
      </c>
      <c r="G45" s="68"/>
      <c r="H45" s="167" t="s">
        <v>279</v>
      </c>
      <c r="I45" s="173">
        <v>89592.114709699614</v>
      </c>
      <c r="J45" s="168">
        <f>IFERROR(MIN('MP Calculations'!$E$30/I45,1),"-")</f>
        <v>0.31014580161562261</v>
      </c>
      <c r="K45" s="12"/>
      <c r="L45" s="159">
        <v>1</v>
      </c>
      <c r="M45" s="159" t="s">
        <v>409</v>
      </c>
      <c r="N45" s="159">
        <v>1473.23</v>
      </c>
      <c r="O45" s="185">
        <f t="shared" si="1"/>
        <v>1473.23</v>
      </c>
      <c r="P45" s="215">
        <f t="shared" si="3"/>
        <v>456.91609931418373</v>
      </c>
      <c r="Q45" s="215" cm="1">
        <f t="array" ref="Q45">IF(P45="-",0,P45/(1+'General inputs'!$H$32)^IFERROR(INDEX('MP Calculations'!$C$40:$C$130,MATCH(F45,'MP Calculations'!$D$40:$D$130,0),0),-1))</f>
        <v>1226.483516155597</v>
      </c>
    </row>
    <row r="46" spans="3:17" x14ac:dyDescent="0.25">
      <c r="C46" s="159"/>
      <c r="D46" s="165" t="s">
        <v>432</v>
      </c>
      <c r="E46" s="161">
        <v>35977</v>
      </c>
      <c r="F46" s="172" t="str">
        <f t="shared" si="0"/>
        <v>1998-99</v>
      </c>
      <c r="G46" s="68"/>
      <c r="H46" s="167" t="s">
        <v>279</v>
      </c>
      <c r="I46" s="173">
        <v>89592.114709699614</v>
      </c>
      <c r="J46" s="168">
        <f>IFERROR(MIN('MP Calculations'!$E$30/I46,1),"-")</f>
        <v>0.31014580161562261</v>
      </c>
      <c r="K46" s="12"/>
      <c r="L46" s="159">
        <v>1</v>
      </c>
      <c r="M46" s="159" t="s">
        <v>409</v>
      </c>
      <c r="N46" s="159">
        <v>3874.83</v>
      </c>
      <c r="O46" s="185">
        <f t="shared" si="1"/>
        <v>3874.83</v>
      </c>
      <c r="P46" s="215">
        <f t="shared" si="3"/>
        <v>1201.7622564742628</v>
      </c>
      <c r="Q46" s="215" cm="1">
        <f t="array" ref="Q46">IF(P46="-",0,P46/(1+'General inputs'!$H$32)^IFERROR(INDEX('MP Calculations'!$C$40:$C$130,MATCH(F46,'MP Calculations'!$D$40:$D$130,0),0),-1))</f>
        <v>3225.8473713576232</v>
      </c>
    </row>
    <row r="47" spans="3:17" x14ac:dyDescent="0.25">
      <c r="C47" s="159"/>
      <c r="D47" s="165" t="s">
        <v>433</v>
      </c>
      <c r="E47" s="161">
        <v>35977</v>
      </c>
      <c r="F47" s="172" t="str">
        <f t="shared" si="0"/>
        <v>1998-99</v>
      </c>
      <c r="G47" s="68"/>
      <c r="H47" s="167" t="s">
        <v>279</v>
      </c>
      <c r="I47" s="173">
        <v>89592.114709699614</v>
      </c>
      <c r="J47" s="168">
        <f>IFERROR(MIN('MP Calculations'!$E$30/I47,1),"-")</f>
        <v>0.31014580161562261</v>
      </c>
      <c r="K47" s="12"/>
      <c r="L47" s="159">
        <v>1</v>
      </c>
      <c r="M47" s="159" t="s">
        <v>409</v>
      </c>
      <c r="N47" s="159">
        <v>2377.29</v>
      </c>
      <c r="O47" s="185">
        <f t="shared" si="1"/>
        <v>2377.29</v>
      </c>
      <c r="P47" s="215">
        <f t="shared" si="3"/>
        <v>737.3065127228034</v>
      </c>
      <c r="Q47" s="215" cm="1">
        <f t="array" ref="Q47">IF(P47="-",0,P47/(1+'General inputs'!$H$32)^IFERROR(INDEX('MP Calculations'!$C$40:$C$130,MATCH(F47,'MP Calculations'!$D$40:$D$130,0),0),-1))</f>
        <v>1979.1254577503437</v>
      </c>
    </row>
    <row r="48" spans="3:17" x14ac:dyDescent="0.25">
      <c r="C48" s="159"/>
      <c r="D48" s="165" t="s">
        <v>434</v>
      </c>
      <c r="E48" s="161">
        <v>35977</v>
      </c>
      <c r="F48" s="172" t="str">
        <f t="shared" si="0"/>
        <v>1998-99</v>
      </c>
      <c r="G48" s="68"/>
      <c r="H48" s="167" t="s">
        <v>279</v>
      </c>
      <c r="I48" s="173">
        <v>89592.114709699614</v>
      </c>
      <c r="J48" s="168">
        <f>IFERROR(MIN('MP Calculations'!$E$30/I48,1),"-")</f>
        <v>0.31014580161562261</v>
      </c>
      <c r="K48" s="12"/>
      <c r="L48" s="159">
        <v>1</v>
      </c>
      <c r="M48" s="159" t="s">
        <v>409</v>
      </c>
      <c r="N48" s="159">
        <v>817.95</v>
      </c>
      <c r="O48" s="185">
        <f t="shared" si="1"/>
        <v>817.95</v>
      </c>
      <c r="P48" s="215">
        <f t="shared" si="3"/>
        <v>253.68375843149852</v>
      </c>
      <c r="Q48" s="215" cm="1">
        <f t="array" ref="Q48">IF(P48="-",0,P48/(1+'General inputs'!$H$32)^IFERROR(INDEX('MP Calculations'!$C$40:$C$130,MATCH(F48,'MP Calculations'!$D$40:$D$130,0),0),-1))</f>
        <v>680.95422441809535</v>
      </c>
    </row>
    <row r="49" spans="3:17" x14ac:dyDescent="0.25">
      <c r="C49" s="159"/>
      <c r="D49" s="165" t="s">
        <v>281</v>
      </c>
      <c r="E49" s="161">
        <v>36141</v>
      </c>
      <c r="F49" s="172" t="str">
        <f t="shared" si="0"/>
        <v>1998-99</v>
      </c>
      <c r="G49" s="68"/>
      <c r="H49" s="167" t="s">
        <v>279</v>
      </c>
      <c r="I49" s="173">
        <v>89592.114709699614</v>
      </c>
      <c r="J49" s="168">
        <f>IFERROR(MIN('MP Calculations'!$E$30/I49,1),"-")</f>
        <v>0.31014580161562261</v>
      </c>
      <c r="K49" s="12"/>
      <c r="L49" s="159">
        <v>45.875329999999998</v>
      </c>
      <c r="M49" s="159" t="s">
        <v>408</v>
      </c>
      <c r="N49" s="159">
        <v>809</v>
      </c>
      <c r="O49" s="185">
        <f t="shared" si="1"/>
        <v>37113.141969999997</v>
      </c>
      <c r="P49" s="215">
        <f t="shared" si="3"/>
        <v>11510.485166760056</v>
      </c>
      <c r="Q49" s="215" cm="1">
        <f t="array" ref="Q49">IF(P49="-",0,P49/(1+'General inputs'!$H$32)^IFERROR(INDEX('MP Calculations'!$C$40:$C$130,MATCH(F49,'MP Calculations'!$D$40:$D$130,0),0),-1))</f>
        <v>30897.182964606651</v>
      </c>
    </row>
    <row r="50" spans="3:17" x14ac:dyDescent="0.25">
      <c r="C50" s="159"/>
      <c r="D50" s="165" t="s">
        <v>281</v>
      </c>
      <c r="E50" s="161">
        <v>36141</v>
      </c>
      <c r="F50" s="172" t="str">
        <f t="shared" si="0"/>
        <v>1998-99</v>
      </c>
      <c r="G50" s="68"/>
      <c r="H50" s="167" t="s">
        <v>279</v>
      </c>
      <c r="I50" s="173">
        <v>89592.114709699614</v>
      </c>
      <c r="J50" s="168">
        <f>IFERROR(MIN('MP Calculations'!$E$30/I50,1),"-")</f>
        <v>0.31014580161562261</v>
      </c>
      <c r="K50" s="12"/>
      <c r="L50" s="159">
        <v>45.615122</v>
      </c>
      <c r="M50" s="159" t="s">
        <v>408</v>
      </c>
      <c r="N50" s="159">
        <v>809</v>
      </c>
      <c r="O50" s="185">
        <f t="shared" si="1"/>
        <v>36902.633697999998</v>
      </c>
      <c r="P50" s="215">
        <f t="shared" si="3"/>
        <v>11445.196909993898</v>
      </c>
      <c r="Q50" s="215" cm="1">
        <f t="array" ref="Q50">IF(P50="-",0,P50/(1+'General inputs'!$H$32)^IFERROR(INDEX('MP Calculations'!$C$40:$C$130,MATCH(F50,'MP Calculations'!$D$40:$D$130,0),0),-1))</f>
        <v>30721.932035951657</v>
      </c>
    </row>
    <row r="51" spans="3:17" x14ac:dyDescent="0.25">
      <c r="C51" s="159"/>
      <c r="D51" s="165" t="s">
        <v>435</v>
      </c>
      <c r="E51" s="161">
        <v>36251</v>
      </c>
      <c r="F51" s="172" t="str">
        <f t="shared" si="0"/>
        <v>1998-99</v>
      </c>
      <c r="G51" s="68"/>
      <c r="H51" s="167" t="s">
        <v>279</v>
      </c>
      <c r="I51" s="173">
        <v>89592.114709699614</v>
      </c>
      <c r="J51" s="168">
        <f>IFERROR(MIN('MP Calculations'!$E$30/I51,1),"-")</f>
        <v>0.31014580161562261</v>
      </c>
      <c r="K51" s="12"/>
      <c r="L51" s="159">
        <v>1</v>
      </c>
      <c r="M51" s="159" t="s">
        <v>409</v>
      </c>
      <c r="N51" s="159">
        <v>2735.44</v>
      </c>
      <c r="O51" s="185">
        <f t="shared" si="1"/>
        <v>2735.44</v>
      </c>
      <c r="P51" s="215">
        <f t="shared" si="3"/>
        <v>848.38523157143868</v>
      </c>
      <c r="Q51" s="215" cm="1">
        <f t="array" ref="Q51">IF(P51="-",0,P51/(1+'General inputs'!$H$32)^IFERROR(INDEX('MP Calculations'!$C$40:$C$130,MATCH(F51,'MP Calculations'!$D$40:$D$130,0),0),-1))</f>
        <v>2277.2900833085573</v>
      </c>
    </row>
    <row r="52" spans="3:17" x14ac:dyDescent="0.25">
      <c r="C52" s="159"/>
      <c r="D52" s="165" t="s">
        <v>436</v>
      </c>
      <c r="E52" s="161">
        <v>36281</v>
      </c>
      <c r="F52" s="172" t="str">
        <f t="shared" si="0"/>
        <v>1998-99</v>
      </c>
      <c r="G52" s="68"/>
      <c r="H52" s="167" t="s">
        <v>279</v>
      </c>
      <c r="I52" s="173">
        <v>89592.114709699614</v>
      </c>
      <c r="J52" s="168">
        <f>IFERROR(MIN('MP Calculations'!$E$30/I52,1),"-")</f>
        <v>0.31014580161562261</v>
      </c>
      <c r="K52" s="12"/>
      <c r="L52" s="159">
        <v>1</v>
      </c>
      <c r="M52" s="159" t="s">
        <v>409</v>
      </c>
      <c r="N52" s="159">
        <v>400585.99</v>
      </c>
      <c r="O52" s="185">
        <f t="shared" si="1"/>
        <v>400585.99</v>
      </c>
      <c r="P52" s="215">
        <f t="shared" si="3"/>
        <v>124240.06298453778</v>
      </c>
      <c r="Q52" s="215" cm="1">
        <f t="array" ref="Q52">IF(P52="-",0,P52/(1+'General inputs'!$H$32)^IFERROR(INDEX('MP Calculations'!$C$40:$C$130,MATCH(F52,'MP Calculations'!$D$40:$D$130,0),0),-1))</f>
        <v>333493.15011089295</v>
      </c>
    </row>
    <row r="53" spans="3:17" x14ac:dyDescent="0.25">
      <c r="C53" s="159"/>
      <c r="D53" s="165" t="s">
        <v>437</v>
      </c>
      <c r="E53" s="161">
        <v>36321</v>
      </c>
      <c r="F53" s="172" t="str">
        <f t="shared" si="0"/>
        <v>1998-99</v>
      </c>
      <c r="G53" s="68"/>
      <c r="H53" s="167" t="s">
        <v>279</v>
      </c>
      <c r="I53" s="173">
        <v>89592.114709699614</v>
      </c>
      <c r="J53" s="168">
        <f>IFERROR(MIN('MP Calculations'!$E$30/I53,1),"-")</f>
        <v>0.31014580161562261</v>
      </c>
      <c r="K53" s="12"/>
      <c r="L53" s="159">
        <v>80.863640000000004</v>
      </c>
      <c r="M53" s="159" t="s">
        <v>408</v>
      </c>
      <c r="N53" s="159">
        <v>622</v>
      </c>
      <c r="O53" s="185">
        <f t="shared" si="1"/>
        <v>50297.184079999999</v>
      </c>
      <c r="P53" s="215">
        <f t="shared" si="3"/>
        <v>15599.460475500131</v>
      </c>
      <c r="Q53" s="215" cm="1">
        <f t="array" ref="Q53">IF(P53="-",0,P53/(1+'General inputs'!$H$32)^IFERROR(INDEX('MP Calculations'!$C$40:$C$130,MATCH(F53,'MP Calculations'!$D$40:$D$130,0),0),-1))</f>
        <v>41873.072896400234</v>
      </c>
    </row>
    <row r="54" spans="3:17" x14ac:dyDescent="0.25">
      <c r="C54" s="159"/>
      <c r="D54" s="165" t="s">
        <v>438</v>
      </c>
      <c r="E54" s="161">
        <v>36342</v>
      </c>
      <c r="F54" s="172" t="str">
        <f t="shared" si="0"/>
        <v>1999-00</v>
      </c>
      <c r="G54" s="68"/>
      <c r="H54" s="167" t="s">
        <v>279</v>
      </c>
      <c r="I54" s="173">
        <v>89592.114709699614</v>
      </c>
      <c r="J54" s="168">
        <f>IFERROR(MIN('MP Calculations'!$E$30/I54,1),"-")</f>
        <v>0.31014580161562261</v>
      </c>
      <c r="K54" s="12"/>
      <c r="L54" s="159">
        <v>1</v>
      </c>
      <c r="M54" s="159" t="s">
        <v>409</v>
      </c>
      <c r="N54" s="159">
        <v>161478.73000000001</v>
      </c>
      <c r="O54" s="185">
        <f t="shared" si="1"/>
        <v>161478.73000000001</v>
      </c>
      <c r="P54" s="215">
        <f t="shared" si="3"/>
        <v>50081.950159722692</v>
      </c>
      <c r="Q54" s="215" cm="1">
        <f t="array" ref="Q54">IF(P54="-",0,P54/(1+'General inputs'!$H$32)^IFERROR(INDEX('MP Calculations'!$C$40:$C$130,MATCH(F54,'MP Calculations'!$D$40:$D$130,0),0),-1))</f>
        <v>129014.5725570058</v>
      </c>
    </row>
    <row r="55" spans="3:17" x14ac:dyDescent="0.25">
      <c r="C55" s="159"/>
      <c r="D55" s="165" t="s">
        <v>439</v>
      </c>
      <c r="E55" s="161">
        <v>36342</v>
      </c>
      <c r="F55" s="172" t="str">
        <f t="shared" si="0"/>
        <v>1999-00</v>
      </c>
      <c r="G55" s="68"/>
      <c r="H55" s="167" t="s">
        <v>279</v>
      </c>
      <c r="I55" s="173">
        <v>89592.114709699614</v>
      </c>
      <c r="J55" s="168">
        <f>IFERROR(MIN('MP Calculations'!$E$30/I55,1),"-")</f>
        <v>0.31014580161562261</v>
      </c>
      <c r="K55" s="12"/>
      <c r="L55" s="159">
        <v>1</v>
      </c>
      <c r="M55" s="159" t="s">
        <v>409</v>
      </c>
      <c r="N55" s="159">
        <v>166418.79999999999</v>
      </c>
      <c r="O55" s="185">
        <f t="shared" si="1"/>
        <v>166418.79999999999</v>
      </c>
      <c r="P55" s="215">
        <f t="shared" si="3"/>
        <v>51614.092129909972</v>
      </c>
      <c r="Q55" s="215" cm="1">
        <f t="array" ref="Q55">IF(P55="-",0,P55/(1+'General inputs'!$H$32)^IFERROR(INDEX('MP Calculations'!$C$40:$C$130,MATCH(F55,'MP Calculations'!$D$40:$D$130,0),0),-1))</f>
        <v>132961.47639661169</v>
      </c>
    </row>
    <row r="56" spans="3:17" x14ac:dyDescent="0.25">
      <c r="C56" s="159"/>
      <c r="D56" s="165" t="s">
        <v>440</v>
      </c>
      <c r="E56" s="161">
        <v>36342</v>
      </c>
      <c r="F56" s="172" t="str">
        <f t="shared" si="0"/>
        <v>1999-00</v>
      </c>
      <c r="G56" s="68"/>
      <c r="H56" s="167" t="s">
        <v>279</v>
      </c>
      <c r="I56" s="173">
        <v>89592.114709699614</v>
      </c>
      <c r="J56" s="168">
        <f>IFERROR(MIN('MP Calculations'!$E$30/I56,1),"-")</f>
        <v>0.31014580161562261</v>
      </c>
      <c r="K56" s="12"/>
      <c r="L56" s="159">
        <v>1</v>
      </c>
      <c r="M56" s="159" t="s">
        <v>409</v>
      </c>
      <c r="N56" s="159">
        <v>166418.79999999999</v>
      </c>
      <c r="O56" s="185">
        <f t="shared" si="1"/>
        <v>166418.79999999999</v>
      </c>
      <c r="P56" s="215">
        <f t="shared" si="3"/>
        <v>51614.092129909972</v>
      </c>
      <c r="Q56" s="215" cm="1">
        <f t="array" ref="Q56">IF(P56="-",0,P56/(1+'General inputs'!$H$32)^IFERROR(INDEX('MP Calculations'!$C$40:$C$130,MATCH(F56,'MP Calculations'!$D$40:$D$130,0),0),-1))</f>
        <v>132961.47639661169</v>
      </c>
    </row>
    <row r="57" spans="3:17" x14ac:dyDescent="0.25">
      <c r="C57" s="159"/>
      <c r="D57" s="165" t="s">
        <v>441</v>
      </c>
      <c r="E57" s="161">
        <v>36342</v>
      </c>
      <c r="F57" s="172" t="str">
        <f t="shared" si="0"/>
        <v>1999-00</v>
      </c>
      <c r="G57" s="68"/>
      <c r="H57" s="167" t="s">
        <v>279</v>
      </c>
      <c r="I57" s="173">
        <v>89592.114709699614</v>
      </c>
      <c r="J57" s="168">
        <f>IFERROR(MIN('MP Calculations'!$E$30/I57,1),"-")</f>
        <v>0.31014580161562261</v>
      </c>
      <c r="K57" s="12"/>
      <c r="L57" s="159">
        <v>1</v>
      </c>
      <c r="M57" s="159" t="s">
        <v>409</v>
      </c>
      <c r="N57" s="159">
        <v>13037.47</v>
      </c>
      <c r="O57" s="185">
        <f t="shared" si="1"/>
        <v>13037.47</v>
      </c>
      <c r="P57" s="215">
        <f t="shared" si="3"/>
        <v>4043.516584189631</v>
      </c>
      <c r="Q57" s="215" cm="1">
        <f t="array" ref="Q57">IF(P57="-",0,P57/(1+'General inputs'!$H$32)^IFERROR(INDEX('MP Calculations'!$C$40:$C$130,MATCH(F57,'MP Calculations'!$D$40:$D$130,0),0),-1))</f>
        <v>10416.37879660551</v>
      </c>
    </row>
    <row r="58" spans="3:17" x14ac:dyDescent="0.25">
      <c r="C58" s="159"/>
      <c r="D58" s="165" t="s">
        <v>442</v>
      </c>
      <c r="E58" s="161">
        <v>36342</v>
      </c>
      <c r="F58" s="172" t="str">
        <f t="shared" si="0"/>
        <v>1999-00</v>
      </c>
      <c r="G58" s="68"/>
      <c r="H58" s="167" t="s">
        <v>279</v>
      </c>
      <c r="I58" s="173">
        <v>89592.114709699614</v>
      </c>
      <c r="J58" s="168">
        <f>IFERROR(MIN('MP Calculations'!$E$30/I58,1),"-")</f>
        <v>0.31014580161562261</v>
      </c>
      <c r="K58" s="12"/>
      <c r="L58" s="159">
        <v>1</v>
      </c>
      <c r="M58" s="159" t="s">
        <v>409</v>
      </c>
      <c r="N58" s="159">
        <v>27975.439999999999</v>
      </c>
      <c r="O58" s="185">
        <f t="shared" si="1"/>
        <v>27975.439999999999</v>
      </c>
      <c r="P58" s="215">
        <f t="shared" si="3"/>
        <v>8676.465264349752</v>
      </c>
      <c r="Q58" s="215" cm="1">
        <f t="array" ref="Q58">IF(P58="-",0,P58/(1+'General inputs'!$H$32)^IFERROR(INDEX('MP Calculations'!$C$40:$C$130,MATCH(F58,'MP Calculations'!$D$40:$D$130,0),0),-1))</f>
        <v>22351.17549967207</v>
      </c>
    </row>
    <row r="59" spans="3:17" x14ac:dyDescent="0.25">
      <c r="C59" s="159"/>
      <c r="D59" s="165" t="s">
        <v>443</v>
      </c>
      <c r="E59" s="161">
        <v>36342</v>
      </c>
      <c r="F59" s="172" t="str">
        <f t="shared" si="0"/>
        <v>1999-00</v>
      </c>
      <c r="G59" s="68"/>
      <c r="H59" s="167" t="s">
        <v>279</v>
      </c>
      <c r="I59" s="173">
        <v>89592.114709699614</v>
      </c>
      <c r="J59" s="168">
        <f>IFERROR(MIN('MP Calculations'!$E$30/I59,1),"-")</f>
        <v>0.31014580161562261</v>
      </c>
      <c r="K59" s="12"/>
      <c r="L59" s="159">
        <v>1</v>
      </c>
      <c r="M59" s="159" t="s">
        <v>409</v>
      </c>
      <c r="N59" s="159">
        <v>121726.73</v>
      </c>
      <c r="O59" s="185">
        <f t="shared" si="1"/>
        <v>121726.73</v>
      </c>
      <c r="P59" s="215">
        <f t="shared" si="3"/>
        <v>37753.034253898455</v>
      </c>
      <c r="Q59" s="215" cm="1">
        <f t="array" ref="Q59">IF(P59="-",0,P59/(1+'General inputs'!$H$32)^IFERROR(INDEX('MP Calculations'!$C$40:$C$130,MATCH(F59,'MP Calculations'!$D$40:$D$130,0),0),-1))</f>
        <v>97254.431216495519</v>
      </c>
    </row>
    <row r="60" spans="3:17" x14ac:dyDescent="0.25">
      <c r="C60" s="159"/>
      <c r="D60" s="165" t="s">
        <v>444</v>
      </c>
      <c r="E60" s="161">
        <v>36342</v>
      </c>
      <c r="F60" s="172" t="str">
        <f t="shared" si="0"/>
        <v>1999-00</v>
      </c>
      <c r="G60" s="68"/>
      <c r="H60" s="167" t="s">
        <v>279</v>
      </c>
      <c r="I60" s="173">
        <v>89592.114709699614</v>
      </c>
      <c r="J60" s="168">
        <f>IFERROR(MIN('MP Calculations'!$E$30/I60,1),"-")</f>
        <v>0.31014580161562261</v>
      </c>
      <c r="K60" s="12"/>
      <c r="L60" s="159">
        <v>1</v>
      </c>
      <c r="M60" s="159" t="s">
        <v>409</v>
      </c>
      <c r="N60" s="159">
        <v>152519.04999999999</v>
      </c>
      <c r="O60" s="185">
        <f t="shared" si="1"/>
        <v>152519.04999999999</v>
      </c>
      <c r="P60" s="215">
        <f t="shared" si="3"/>
        <v>47303.14302390322</v>
      </c>
      <c r="Q60" s="215" cm="1">
        <f t="array" ref="Q60">IF(P60="-",0,P60/(1+'General inputs'!$H$32)^IFERROR(INDEX('MP Calculations'!$C$40:$C$130,MATCH(F60,'MP Calculations'!$D$40:$D$130,0),0),-1))</f>
        <v>121856.1728999887</v>
      </c>
    </row>
    <row r="61" spans="3:17" x14ac:dyDescent="0.25">
      <c r="C61" s="159"/>
      <c r="D61" s="165" t="s">
        <v>445</v>
      </c>
      <c r="E61" s="161">
        <v>36342</v>
      </c>
      <c r="F61" s="172" t="str">
        <f t="shared" si="0"/>
        <v>1999-00</v>
      </c>
      <c r="G61" s="68"/>
      <c r="H61" s="167" t="s">
        <v>279</v>
      </c>
      <c r="I61" s="173">
        <v>89592.114709699614</v>
      </c>
      <c r="J61" s="168">
        <f>IFERROR(MIN('MP Calculations'!$E$30/I61,1),"-")</f>
        <v>0.31014580161562261</v>
      </c>
      <c r="K61" s="12"/>
      <c r="L61" s="159">
        <v>1</v>
      </c>
      <c r="M61" s="159" t="s">
        <v>409</v>
      </c>
      <c r="N61" s="159">
        <v>142334.97</v>
      </c>
      <c r="O61" s="185">
        <f t="shared" si="1"/>
        <v>142334.97</v>
      </c>
      <c r="P61" s="215">
        <f t="shared" si="3"/>
        <v>44144.593368585593</v>
      </c>
      <c r="Q61" s="215" cm="1">
        <f t="array" ref="Q61">IF(P61="-",0,P61/(1+'General inputs'!$H$32)^IFERROR(INDEX('MP Calculations'!$C$40:$C$130,MATCH(F61,'MP Calculations'!$D$40:$D$130,0),0),-1))</f>
        <v>113719.53020973252</v>
      </c>
    </row>
    <row r="62" spans="3:17" x14ac:dyDescent="0.25">
      <c r="C62" s="159"/>
      <c r="D62" s="165" t="s">
        <v>446</v>
      </c>
      <c r="E62" s="161">
        <v>36342</v>
      </c>
      <c r="F62" s="172" t="str">
        <f t="shared" si="0"/>
        <v>1999-00</v>
      </c>
      <c r="G62" s="68"/>
      <c r="H62" s="167" t="s">
        <v>279</v>
      </c>
      <c r="I62" s="173">
        <v>89592.114709699614</v>
      </c>
      <c r="J62" s="168">
        <f>IFERROR(MIN('MP Calculations'!$E$30/I62,1),"-")</f>
        <v>0.31014580161562261</v>
      </c>
      <c r="K62" s="12"/>
      <c r="L62" s="159">
        <v>1</v>
      </c>
      <c r="M62" s="159" t="s">
        <v>409</v>
      </c>
      <c r="N62" s="159">
        <v>156742.93</v>
      </c>
      <c r="O62" s="185">
        <f t="shared" si="1"/>
        <v>156742.93</v>
      </c>
      <c r="P62" s="215">
        <f t="shared" si="3"/>
        <v>48613.161672431423</v>
      </c>
      <c r="Q62" s="215" cm="1">
        <f t="array" ref="Q62">IF(P62="-",0,P62/(1+'General inputs'!$H$32)^IFERROR(INDEX('MP Calculations'!$C$40:$C$130,MATCH(F62,'MP Calculations'!$D$40:$D$130,0),0),-1))</f>
        <v>125230.87167754341</v>
      </c>
    </row>
    <row r="63" spans="3:17" x14ac:dyDescent="0.25">
      <c r="C63" s="159"/>
      <c r="D63" s="165" t="s">
        <v>447</v>
      </c>
      <c r="E63" s="161">
        <v>36342</v>
      </c>
      <c r="F63" s="172" t="str">
        <f t="shared" si="0"/>
        <v>1999-00</v>
      </c>
      <c r="G63" s="68"/>
      <c r="H63" s="167" t="s">
        <v>279</v>
      </c>
      <c r="I63" s="173">
        <v>89592.114709699614</v>
      </c>
      <c r="J63" s="168">
        <f>IFERROR(MIN('MP Calculations'!$E$30/I63,1),"-")</f>
        <v>0.31014580161562261</v>
      </c>
      <c r="K63" s="12"/>
      <c r="L63" s="159">
        <v>1</v>
      </c>
      <c r="M63" s="159" t="s">
        <v>409</v>
      </c>
      <c r="N63" s="159">
        <v>152838.34</v>
      </c>
      <c r="O63" s="185">
        <f t="shared" si="1"/>
        <v>152838.34</v>
      </c>
      <c r="P63" s="215">
        <f t="shared" si="3"/>
        <v>47402.169476901079</v>
      </c>
      <c r="Q63" s="215" cm="1">
        <f t="array" ref="Q63">IF(P63="-",0,P63/(1+'General inputs'!$H$32)^IFERROR(INDEX('MP Calculations'!$C$40:$C$130,MATCH(F63,'MP Calculations'!$D$40:$D$130,0),0),-1))</f>
        <v>122111.27190201657</v>
      </c>
    </row>
    <row r="64" spans="3:17" x14ac:dyDescent="0.25">
      <c r="C64" s="159"/>
      <c r="D64" s="165" t="s">
        <v>448</v>
      </c>
      <c r="E64" s="161">
        <v>36342</v>
      </c>
      <c r="F64" s="172" t="str">
        <f t="shared" si="0"/>
        <v>1999-00</v>
      </c>
      <c r="G64" s="68"/>
      <c r="H64" s="167" t="s">
        <v>279</v>
      </c>
      <c r="I64" s="173">
        <v>89592.114709699614</v>
      </c>
      <c r="J64" s="168">
        <f>IFERROR(MIN('MP Calculations'!$E$30/I64,1),"-")</f>
        <v>0.31014580161562261</v>
      </c>
      <c r="K64" s="12"/>
      <c r="L64" s="159">
        <v>1</v>
      </c>
      <c r="M64" s="159" t="s">
        <v>409</v>
      </c>
      <c r="N64" s="159">
        <v>32329.15</v>
      </c>
      <c r="O64" s="185">
        <f t="shared" si="1"/>
        <v>32329.15</v>
      </c>
      <c r="P64" s="215">
        <f t="shared" si="3"/>
        <v>10026.750142301706</v>
      </c>
      <c r="Q64" s="215" cm="1">
        <f t="array" ref="Q64">IF(P64="-",0,P64/(1+'General inputs'!$H$32)^IFERROR(INDEX('MP Calculations'!$C$40:$C$130,MATCH(F64,'MP Calculations'!$D$40:$D$130,0),0),-1))</f>
        <v>25829.602873278254</v>
      </c>
    </row>
    <row r="65" spans="3:17" x14ac:dyDescent="0.25">
      <c r="C65" s="159"/>
      <c r="D65" s="165" t="s">
        <v>449</v>
      </c>
      <c r="E65" s="161">
        <v>36342</v>
      </c>
      <c r="F65" s="172" t="str">
        <f t="shared" si="0"/>
        <v>1999-00</v>
      </c>
      <c r="G65" s="68"/>
      <c r="H65" s="167" t="s">
        <v>279</v>
      </c>
      <c r="I65" s="173">
        <v>89592.114709699614</v>
      </c>
      <c r="J65" s="168">
        <f>IFERROR(MIN('MP Calculations'!$E$30/I65,1),"-")</f>
        <v>0.31014580161562261</v>
      </c>
      <c r="K65" s="12"/>
      <c r="L65" s="159">
        <v>1</v>
      </c>
      <c r="M65" s="159" t="s">
        <v>409</v>
      </c>
      <c r="N65" s="159">
        <v>141397.74</v>
      </c>
      <c r="O65" s="185">
        <f t="shared" si="1"/>
        <v>141397.74</v>
      </c>
      <c r="P65" s="215">
        <f t="shared" si="3"/>
        <v>43853.91541893738</v>
      </c>
      <c r="Q65" s="215" cm="1">
        <f t="array" ref="Q65">IF(P65="-",0,P65/(1+'General inputs'!$H$32)^IFERROR(INDEX('MP Calculations'!$C$40:$C$130,MATCH(F65,'MP Calculations'!$D$40:$D$130,0),0),-1))</f>
        <v>112970.72367751863</v>
      </c>
    </row>
    <row r="66" spans="3:17" x14ac:dyDescent="0.25">
      <c r="C66" s="159"/>
      <c r="D66" s="165" t="s">
        <v>450</v>
      </c>
      <c r="E66" s="161">
        <v>36342</v>
      </c>
      <c r="F66" s="172" t="str">
        <f t="shared" si="0"/>
        <v>1999-00</v>
      </c>
      <c r="G66" s="68"/>
      <c r="H66" s="167" t="s">
        <v>279</v>
      </c>
      <c r="I66" s="173">
        <v>89592.114709699614</v>
      </c>
      <c r="J66" s="168">
        <f>IFERROR(MIN('MP Calculations'!$E$30/I66,1),"-")</f>
        <v>0.31014580161562261</v>
      </c>
      <c r="K66" s="12"/>
      <c r="L66" s="159">
        <v>1</v>
      </c>
      <c r="M66" s="159" t="s">
        <v>409</v>
      </c>
      <c r="N66" s="159">
        <v>23395.05</v>
      </c>
      <c r="O66" s="185">
        <f t="shared" si="1"/>
        <v>23395.05</v>
      </c>
      <c r="P66" s="215">
        <f t="shared" si="3"/>
        <v>7255.8765360875714</v>
      </c>
      <c r="Q66" s="215" cm="1">
        <f t="array" ref="Q66">IF(P66="-",0,P66/(1+'General inputs'!$H$32)^IFERROR(INDEX('MP Calculations'!$C$40:$C$130,MATCH(F66,'MP Calculations'!$D$40:$D$130,0),0),-1))</f>
        <v>18691.640538043481</v>
      </c>
    </row>
    <row r="67" spans="3:17" x14ac:dyDescent="0.25">
      <c r="C67" s="159"/>
      <c r="D67" s="165" t="s">
        <v>403</v>
      </c>
      <c r="E67" s="161">
        <v>36342</v>
      </c>
      <c r="F67" s="172" t="str">
        <f t="shared" si="0"/>
        <v>1999-00</v>
      </c>
      <c r="G67" s="68"/>
      <c r="H67" s="167" t="s">
        <v>279</v>
      </c>
      <c r="I67" s="173">
        <v>89592.114709699614</v>
      </c>
      <c r="J67" s="168">
        <f>IFERROR(MIN('MP Calculations'!$E$30/I67,1),"-")</f>
        <v>0.31014580161562261</v>
      </c>
      <c r="K67" s="12"/>
      <c r="L67" s="159">
        <v>1</v>
      </c>
      <c r="M67" s="159" t="s">
        <v>409</v>
      </c>
      <c r="N67" s="159">
        <v>26572.46</v>
      </c>
      <c r="O67" s="185">
        <f t="shared" si="1"/>
        <v>26572.46</v>
      </c>
      <c r="P67" s="215">
        <f t="shared" si="3"/>
        <v>8241.3369075990668</v>
      </c>
      <c r="Q67" s="215" cm="1">
        <f t="array" ref="Q67">IF(P67="-",0,P67/(1+'General inputs'!$H$32)^IFERROR(INDEX('MP Calculations'!$C$40:$C$130,MATCH(F67,'MP Calculations'!$D$40:$D$130,0),0),-1))</f>
        <v>21230.254713349143</v>
      </c>
    </row>
    <row r="68" spans="3:17" x14ac:dyDescent="0.25">
      <c r="C68" s="159"/>
      <c r="D68" s="165" t="s">
        <v>451</v>
      </c>
      <c r="E68" s="161">
        <v>36342</v>
      </c>
      <c r="F68" s="172" t="str">
        <f t="shared" si="0"/>
        <v>1999-00</v>
      </c>
      <c r="G68" s="68"/>
      <c r="H68" s="167" t="s">
        <v>279</v>
      </c>
      <c r="I68" s="173">
        <v>89592.114709699614</v>
      </c>
      <c r="J68" s="168">
        <f>IFERROR(MIN('MP Calculations'!$E$30/I68,1),"-")</f>
        <v>0.31014580161562261</v>
      </c>
      <c r="K68" s="12"/>
      <c r="L68" s="159">
        <v>1</v>
      </c>
      <c r="M68" s="159" t="s">
        <v>409</v>
      </c>
      <c r="N68" s="159">
        <v>853.64</v>
      </c>
      <c r="O68" s="185">
        <f t="shared" si="1"/>
        <v>853.64</v>
      </c>
      <c r="P68" s="215">
        <f t="shared" si="3"/>
        <v>264.75286209116007</v>
      </c>
      <c r="Q68" s="215" cm="1">
        <f t="array" ref="Q68">IF(P68="-",0,P68/(1+'General inputs'!$H$32)^IFERROR(INDEX('MP Calculations'!$C$40:$C$130,MATCH(F68,'MP Calculations'!$D$40:$D$130,0),0),-1))</f>
        <v>682.02171095575511</v>
      </c>
    </row>
    <row r="69" spans="3:17" x14ac:dyDescent="0.25">
      <c r="C69" s="159"/>
      <c r="D69" s="165" t="s">
        <v>452</v>
      </c>
      <c r="E69" s="161">
        <v>36342</v>
      </c>
      <c r="F69" s="172" t="str">
        <f t="shared" si="0"/>
        <v>1999-00</v>
      </c>
      <c r="G69" s="68"/>
      <c r="H69" s="167" t="s">
        <v>279</v>
      </c>
      <c r="I69" s="173">
        <v>89592.114709699614</v>
      </c>
      <c r="J69" s="168">
        <f>IFERROR(MIN('MP Calculations'!$E$30/I69,1),"-")</f>
        <v>0.31014580161562261</v>
      </c>
      <c r="K69" s="12"/>
      <c r="L69" s="159">
        <v>1</v>
      </c>
      <c r="M69" s="159" t="s">
        <v>409</v>
      </c>
      <c r="N69" s="159">
        <v>189648.5</v>
      </c>
      <c r="O69" s="185">
        <f t="shared" si="1"/>
        <v>189648.5</v>
      </c>
      <c r="P69" s="215">
        <f t="shared" si="3"/>
        <v>58818.686057700404</v>
      </c>
      <c r="Q69" s="215" cm="1">
        <f t="array" ref="Q69">IF(P69="-",0,P69/(1+'General inputs'!$H$32)^IFERROR(INDEX('MP Calculations'!$C$40:$C$130,MATCH(F69,'MP Calculations'!$D$40:$D$130,0),0),-1))</f>
        <v>151521.00938357215</v>
      </c>
    </row>
    <row r="70" spans="3:17" x14ac:dyDescent="0.25">
      <c r="C70" s="159"/>
      <c r="D70" s="165" t="s">
        <v>453</v>
      </c>
      <c r="E70" s="161">
        <v>36385</v>
      </c>
      <c r="F70" s="172" t="str">
        <f t="shared" si="0"/>
        <v>1999-00</v>
      </c>
      <c r="G70" s="68"/>
      <c r="H70" s="167" t="s">
        <v>279</v>
      </c>
      <c r="I70" s="173">
        <v>89592.114709699614</v>
      </c>
      <c r="J70" s="168">
        <f>IFERROR(MIN('MP Calculations'!$E$30/I70,1),"-")</f>
        <v>0.31014580161562261</v>
      </c>
      <c r="K70" s="12"/>
      <c r="L70" s="159">
        <v>51.399509999999999</v>
      </c>
      <c r="M70" s="159" t="s">
        <v>408</v>
      </c>
      <c r="N70" s="159">
        <v>622</v>
      </c>
      <c r="O70" s="185">
        <f t="shared" si="1"/>
        <v>31970.495220000001</v>
      </c>
      <c r="P70" s="215">
        <f t="shared" si="3"/>
        <v>9915.5148680553302</v>
      </c>
      <c r="Q70" s="215" cm="1">
        <f t="array" ref="Q70">IF(P70="-",0,P70/(1+'General inputs'!$H$32)^IFERROR(INDEX('MP Calculations'!$C$40:$C$130,MATCH(F70,'MP Calculations'!$D$40:$D$130,0),0),-1))</f>
        <v>25543.053102065496</v>
      </c>
    </row>
    <row r="71" spans="3:17" x14ac:dyDescent="0.25">
      <c r="C71" s="159"/>
      <c r="D71" s="165" t="s">
        <v>453</v>
      </c>
      <c r="E71" s="161">
        <v>36385</v>
      </c>
      <c r="F71" s="172" t="str">
        <f t="shared" si="0"/>
        <v>1999-00</v>
      </c>
      <c r="G71" s="68"/>
      <c r="H71" s="167" t="s">
        <v>279</v>
      </c>
      <c r="I71" s="173">
        <v>89592.114709699614</v>
      </c>
      <c r="J71" s="168">
        <f>IFERROR(MIN('MP Calculations'!$E$30/I71,1),"-")</f>
        <v>0.31014580161562261</v>
      </c>
      <c r="K71" s="12"/>
      <c r="L71" s="159">
        <v>21.278977000000001</v>
      </c>
      <c r="M71" s="159" t="s">
        <v>408</v>
      </c>
      <c r="N71" s="159">
        <v>622</v>
      </c>
      <c r="O71" s="185">
        <f t="shared" si="1"/>
        <v>13235.523694000001</v>
      </c>
      <c r="P71" s="215">
        <f t="shared" si="3"/>
        <v>4104.9421058781973</v>
      </c>
      <c r="Q71" s="215" cm="1">
        <f t="array" ref="Q71">IF(P71="-",0,P71/(1+'General inputs'!$H$32)^IFERROR(INDEX('MP Calculations'!$C$40:$C$130,MATCH(F71,'MP Calculations'!$D$40:$D$130,0),0),-1))</f>
        <v>10574.615195137667</v>
      </c>
    </row>
    <row r="72" spans="3:17" x14ac:dyDescent="0.25">
      <c r="C72" s="159"/>
      <c r="D72" s="165" t="s">
        <v>453</v>
      </c>
      <c r="E72" s="161">
        <v>36577</v>
      </c>
      <c r="F72" s="172" t="str">
        <f t="shared" si="0"/>
        <v>1999-00</v>
      </c>
      <c r="G72" s="68"/>
      <c r="H72" s="167" t="s">
        <v>279</v>
      </c>
      <c r="I72" s="173">
        <v>89592.114709699614</v>
      </c>
      <c r="J72" s="168">
        <f>IFERROR(MIN('MP Calculations'!$E$30/I72,1),"-")</f>
        <v>0.31014580161562261</v>
      </c>
      <c r="K72" s="12"/>
      <c r="L72" s="159">
        <v>70.393331000000003</v>
      </c>
      <c r="M72" s="159" t="s">
        <v>408</v>
      </c>
      <c r="N72" s="159">
        <v>622</v>
      </c>
      <c r="O72" s="185">
        <f t="shared" si="1"/>
        <v>43784.651882000006</v>
      </c>
      <c r="P72" s="215">
        <f t="shared" si="3"/>
        <v>13579.62595640387</v>
      </c>
      <c r="Q72" s="215" cm="1">
        <f t="array" ref="Q72">IF(P72="-",0,P72/(1+'General inputs'!$H$32)^IFERROR(INDEX('MP Calculations'!$C$40:$C$130,MATCH(F72,'MP Calculations'!$D$40:$D$130,0),0),-1))</f>
        <v>34982.057061716609</v>
      </c>
    </row>
    <row r="73" spans="3:17" x14ac:dyDescent="0.25">
      <c r="C73" s="159"/>
      <c r="D73" s="165" t="s">
        <v>453</v>
      </c>
      <c r="E73" s="161">
        <v>36577</v>
      </c>
      <c r="F73" s="172" t="str">
        <f t="shared" si="0"/>
        <v>1999-00</v>
      </c>
      <c r="G73" s="68"/>
      <c r="H73" s="167" t="s">
        <v>279</v>
      </c>
      <c r="I73" s="173">
        <v>89592.114709699614</v>
      </c>
      <c r="J73" s="168">
        <f>IFERROR(MIN('MP Calculations'!$E$30/I73,1),"-")</f>
        <v>0.31014580161562261</v>
      </c>
      <c r="K73" s="12"/>
      <c r="L73" s="159">
        <v>2.9003559999999999</v>
      </c>
      <c r="M73" s="159" t="s">
        <v>408</v>
      </c>
      <c r="N73" s="159">
        <v>622</v>
      </c>
      <c r="O73" s="185">
        <f t="shared" si="1"/>
        <v>1804.021432</v>
      </c>
      <c r="P73" s="215">
        <f t="shared" si="3"/>
        <v>559.50967315940341</v>
      </c>
      <c r="Q73" s="215" cm="1">
        <f t="array" ref="Q73">IF(P73="-",0,P73/(1+'General inputs'!$H$32)^IFERROR(INDEX('MP Calculations'!$C$40:$C$130,MATCH(F73,'MP Calculations'!$D$40:$D$130,0),0),-1))</f>
        <v>1441.3356727115545</v>
      </c>
    </row>
    <row r="74" spans="3:17" x14ac:dyDescent="0.25">
      <c r="C74" s="159"/>
      <c r="D74" s="165" t="s">
        <v>453</v>
      </c>
      <c r="E74" s="161">
        <v>36584</v>
      </c>
      <c r="F74" s="172" t="str">
        <f t="shared" si="0"/>
        <v>1999-00</v>
      </c>
      <c r="G74" s="68"/>
      <c r="H74" s="167" t="s">
        <v>279</v>
      </c>
      <c r="I74" s="173">
        <v>89592.114709699614</v>
      </c>
      <c r="J74" s="168">
        <f>IFERROR(MIN('MP Calculations'!$E$30/I74,1),"-")</f>
        <v>0.31014580161562261</v>
      </c>
      <c r="K74" s="12"/>
      <c r="L74" s="159">
        <v>49.019700999999998</v>
      </c>
      <c r="M74" s="159" t="s">
        <v>408</v>
      </c>
      <c r="N74" s="159">
        <v>622</v>
      </c>
      <c r="O74" s="185">
        <f t="shared" si="1"/>
        <v>30490.254021999997</v>
      </c>
      <c r="P74" s="215">
        <f t="shared" si="3"/>
        <v>9456.4242751171496</v>
      </c>
      <c r="Q74" s="215" cm="1">
        <f t="array" ref="Q74">IF(P74="-",0,P74/(1+'General inputs'!$H$32)^IFERROR(INDEX('MP Calculations'!$C$40:$C$130,MATCH(F74,'MP Calculations'!$D$40:$D$130,0),0),-1))</f>
        <v>24360.403935570062</v>
      </c>
    </row>
    <row r="75" spans="3:17" x14ac:dyDescent="0.25">
      <c r="C75" s="159"/>
      <c r="D75" s="165" t="s">
        <v>454</v>
      </c>
      <c r="E75" s="161">
        <v>36593</v>
      </c>
      <c r="F75" s="172" t="str">
        <f t="shared" si="0"/>
        <v>1999-00</v>
      </c>
      <c r="G75" s="68"/>
      <c r="H75" s="167" t="s">
        <v>279</v>
      </c>
      <c r="I75" s="173">
        <v>89592.114709699614</v>
      </c>
      <c r="J75" s="168">
        <f>IFERROR(MIN('MP Calculations'!$E$30/I75,1),"-")</f>
        <v>0.31014580161562261</v>
      </c>
      <c r="K75" s="12"/>
      <c r="L75" s="159">
        <v>1</v>
      </c>
      <c r="M75" s="159" t="s">
        <v>409</v>
      </c>
      <c r="N75" s="159">
        <v>6785.77</v>
      </c>
      <c r="O75" s="185">
        <f t="shared" si="1"/>
        <v>6785.77</v>
      </c>
      <c r="P75" s="215">
        <f t="shared" si="3"/>
        <v>2104.5780762292434</v>
      </c>
      <c r="Q75" s="215" cm="1">
        <f t="array" ref="Q75">IF(P75="-",0,P75/(1+'General inputs'!$H$32)^IFERROR(INDEX('MP Calculations'!$C$40:$C$130,MATCH(F75,'MP Calculations'!$D$40:$D$130,0),0),-1))</f>
        <v>5421.5388987772767</v>
      </c>
    </row>
    <row r="76" spans="3:17" x14ac:dyDescent="0.25">
      <c r="C76" s="159"/>
      <c r="D76" s="165" t="s">
        <v>300</v>
      </c>
      <c r="E76" s="161">
        <v>36626</v>
      </c>
      <c r="F76" s="172" t="str">
        <f t="shared" si="0"/>
        <v>1999-00</v>
      </c>
      <c r="G76" s="68"/>
      <c r="H76" s="167" t="s">
        <v>279</v>
      </c>
      <c r="I76" s="173">
        <v>89592.114709699614</v>
      </c>
      <c r="J76" s="168">
        <f>IFERROR(MIN('MP Calculations'!$E$30/I76,1),"-")</f>
        <v>0.31014580161562261</v>
      </c>
      <c r="K76" s="12"/>
      <c r="L76" s="159">
        <v>40.291604999999997</v>
      </c>
      <c r="M76" s="159" t="s">
        <v>408</v>
      </c>
      <c r="N76" s="159">
        <v>809</v>
      </c>
      <c r="O76" s="185">
        <f t="shared" si="1"/>
        <v>32595.908444999997</v>
      </c>
      <c r="P76" s="215">
        <f t="shared" si="3"/>
        <v>10109.484154063966</v>
      </c>
      <c r="Q76" s="215" cm="1">
        <f t="array" ref="Q76">IF(P76="-",0,P76/(1+'General inputs'!$H$32)^IFERROR(INDEX('MP Calculations'!$C$40:$C$130,MATCH(F76,'MP Calculations'!$D$40:$D$130,0),0),-1))</f>
        <v>26042.731418181018</v>
      </c>
    </row>
    <row r="77" spans="3:17" x14ac:dyDescent="0.25">
      <c r="C77" s="159"/>
      <c r="D77" s="165" t="s">
        <v>453</v>
      </c>
      <c r="E77" s="161">
        <v>36626</v>
      </c>
      <c r="F77" s="172" t="str">
        <f t="shared" si="0"/>
        <v>1999-00</v>
      </c>
      <c r="G77" s="68"/>
      <c r="H77" s="167" t="s">
        <v>279</v>
      </c>
      <c r="I77" s="173">
        <v>89592.114709699614</v>
      </c>
      <c r="J77" s="168">
        <f>IFERROR(MIN('MP Calculations'!$E$30/I77,1),"-")</f>
        <v>0.31014580161562261</v>
      </c>
      <c r="K77" s="12"/>
      <c r="L77" s="159">
        <v>98.776460999999998</v>
      </c>
      <c r="M77" s="159" t="s">
        <v>408</v>
      </c>
      <c r="N77" s="159">
        <v>622</v>
      </c>
      <c r="O77" s="185">
        <f t="shared" si="1"/>
        <v>61438.958741999995</v>
      </c>
      <c r="P77" s="215">
        <f t="shared" si="3"/>
        <v>19055.035109466753</v>
      </c>
      <c r="Q77" s="215" cm="1">
        <f t="array" ref="Q77">IF(P77="-",0,P77/(1+'General inputs'!$H$32)^IFERROR(INDEX('MP Calculations'!$C$40:$C$130,MATCH(F77,'MP Calculations'!$D$40:$D$130,0),0),-1))</f>
        <v>49087.090296329698</v>
      </c>
    </row>
    <row r="78" spans="3:17" x14ac:dyDescent="0.25">
      <c r="C78" s="159"/>
      <c r="D78" s="165" t="s">
        <v>283</v>
      </c>
      <c r="E78" s="161">
        <v>36823</v>
      </c>
      <c r="F78" s="172" t="str">
        <f t="shared" si="0"/>
        <v>2000-01</v>
      </c>
      <c r="G78" s="68"/>
      <c r="H78" s="167" t="s">
        <v>279</v>
      </c>
      <c r="I78" s="173">
        <v>89592.114709699614</v>
      </c>
      <c r="J78" s="168">
        <f>IFERROR(MIN('MP Calculations'!$E$30/I78,1),"-")</f>
        <v>0.31014580161562261</v>
      </c>
      <c r="K78" s="12"/>
      <c r="L78" s="159">
        <v>14.434806999999999</v>
      </c>
      <c r="M78" s="159" t="s">
        <v>408</v>
      </c>
      <c r="N78" s="159">
        <v>622</v>
      </c>
      <c r="O78" s="185">
        <f t="shared" si="1"/>
        <v>8978.4499539999997</v>
      </c>
      <c r="P78" s="215">
        <f t="shared" si="3"/>
        <v>2784.62855824908</v>
      </c>
      <c r="Q78" s="215" cm="1">
        <f t="array" ref="Q78">IF(P78="-",0,P78/(1+'General inputs'!$H$32)^IFERROR(INDEX('MP Calculations'!$C$40:$C$130,MATCH(F78,'MP Calculations'!$D$40:$D$130,0),0),-1))</f>
        <v>6884.2572403251861</v>
      </c>
    </row>
    <row r="79" spans="3:17" x14ac:dyDescent="0.25">
      <c r="C79" s="159"/>
      <c r="D79" s="165" t="s">
        <v>283</v>
      </c>
      <c r="E79" s="161">
        <v>36823</v>
      </c>
      <c r="F79" s="172" t="str">
        <f t="shared" si="0"/>
        <v>2000-01</v>
      </c>
      <c r="G79" s="68"/>
      <c r="H79" s="167" t="s">
        <v>279</v>
      </c>
      <c r="I79" s="173">
        <v>89592.114709699614</v>
      </c>
      <c r="J79" s="168">
        <f>IFERROR(MIN('MP Calculations'!$E$30/I79,1),"-")</f>
        <v>0.31014580161562261</v>
      </c>
      <c r="K79" s="12"/>
      <c r="L79" s="159">
        <v>7.5523860000000003</v>
      </c>
      <c r="M79" s="159" t="s">
        <v>408</v>
      </c>
      <c r="N79" s="159">
        <v>622</v>
      </c>
      <c r="O79" s="185">
        <f t="shared" si="1"/>
        <v>4697.5840920000001</v>
      </c>
      <c r="P79" s="215">
        <f t="shared" si="3"/>
        <v>1456.9359838701366</v>
      </c>
      <c r="Q79" s="215" cm="1">
        <f t="array" ref="Q79">IF(P79="-",0,P79/(1+'General inputs'!$H$32)^IFERROR(INDEX('MP Calculations'!$C$40:$C$130,MATCH(F79,'MP Calculations'!$D$40:$D$130,0),0),-1))</f>
        <v>3601.8886849149121</v>
      </c>
    </row>
    <row r="80" spans="3:17" x14ac:dyDescent="0.25">
      <c r="C80" s="159"/>
      <c r="D80" s="165" t="s">
        <v>283</v>
      </c>
      <c r="E80" s="161">
        <v>36823</v>
      </c>
      <c r="F80" s="172" t="str">
        <f t="shared" si="0"/>
        <v>2000-01</v>
      </c>
      <c r="G80" s="68"/>
      <c r="H80" s="167" t="s">
        <v>279</v>
      </c>
      <c r="I80" s="173">
        <v>89592.114709699614</v>
      </c>
      <c r="J80" s="168">
        <f>IFERROR(MIN('MP Calculations'!$E$30/I80,1),"-")</f>
        <v>0.31014580161562261</v>
      </c>
      <c r="K80" s="12"/>
      <c r="L80" s="159">
        <v>7.148053</v>
      </c>
      <c r="M80" s="159" t="s">
        <v>408</v>
      </c>
      <c r="N80" s="159">
        <v>622</v>
      </c>
      <c r="O80" s="185">
        <f t="shared" si="1"/>
        <v>4446.0889660000003</v>
      </c>
      <c r="P80" s="215">
        <f t="shared" si="3"/>
        <v>1378.9358264144448</v>
      </c>
      <c r="Q80" s="215" cm="1">
        <f t="array" ref="Q80">IF(P80="-",0,P80/(1+'General inputs'!$H$32)^IFERROR(INDEX('MP Calculations'!$C$40:$C$130,MATCH(F80,'MP Calculations'!$D$40:$D$130,0),0),-1))</f>
        <v>3409.0539360504213</v>
      </c>
    </row>
    <row r="81" spans="3:17" x14ac:dyDescent="0.25">
      <c r="C81" s="159"/>
      <c r="D81" s="165" t="s">
        <v>453</v>
      </c>
      <c r="E81" s="161">
        <v>36832</v>
      </c>
      <c r="F81" s="172" t="str">
        <f t="shared" si="0"/>
        <v>2000-01</v>
      </c>
      <c r="G81" s="68"/>
      <c r="H81" s="167" t="s">
        <v>279</v>
      </c>
      <c r="I81" s="173">
        <v>89592.114709699614</v>
      </c>
      <c r="J81" s="168">
        <f>IFERROR(MIN('MP Calculations'!$E$30/I81,1),"-")</f>
        <v>0.31014580161562261</v>
      </c>
      <c r="K81" s="12"/>
      <c r="L81" s="159">
        <v>52.562444999999997</v>
      </c>
      <c r="M81" s="159" t="s">
        <v>408</v>
      </c>
      <c r="N81" s="159">
        <v>622</v>
      </c>
      <c r="O81" s="185">
        <f t="shared" si="1"/>
        <v>32693.840789999998</v>
      </c>
      <c r="P81" s="215">
        <f t="shared" si="3"/>
        <v>10139.85745970809</v>
      </c>
      <c r="Q81" s="215" cm="1">
        <f t="array" ref="Q81">IF(P81="-",0,P81/(1+'General inputs'!$H$32)^IFERROR(INDEX('MP Calculations'!$C$40:$C$130,MATCH(F81,'MP Calculations'!$D$40:$D$130,0),0),-1))</f>
        <v>25068.114354452009</v>
      </c>
    </row>
    <row r="82" spans="3:17" x14ac:dyDescent="0.25">
      <c r="C82" s="159"/>
      <c r="D82" s="165" t="s">
        <v>287</v>
      </c>
      <c r="E82" s="161">
        <v>36870</v>
      </c>
      <c r="F82" s="172" t="str">
        <f t="shared" si="0"/>
        <v>2000-01</v>
      </c>
      <c r="G82" s="68"/>
      <c r="H82" s="167" t="s">
        <v>279</v>
      </c>
      <c r="I82" s="173">
        <v>89592.114709699614</v>
      </c>
      <c r="J82" s="168">
        <f>IFERROR(MIN('MP Calculations'!$E$30/I82,1),"-")</f>
        <v>0.31014580161562261</v>
      </c>
      <c r="K82" s="12"/>
      <c r="L82" s="159">
        <v>78.550865999999999</v>
      </c>
      <c r="M82" s="159" t="s">
        <v>408</v>
      </c>
      <c r="N82" s="159">
        <v>995</v>
      </c>
      <c r="O82" s="185">
        <f t="shared" si="1"/>
        <v>78158.111669999998</v>
      </c>
      <c r="P82" s="215">
        <f t="shared" si="3"/>
        <v>24240.410196655499</v>
      </c>
      <c r="Q82" s="215" cm="1">
        <f t="array" ref="Q82">IF(P82="-",0,P82/(1+'General inputs'!$H$32)^IFERROR(INDEX('MP Calculations'!$C$40:$C$130,MATCH(F82,'MP Calculations'!$D$40:$D$130,0),0),-1))</f>
        <v>59927.99970050843</v>
      </c>
    </row>
    <row r="83" spans="3:17" x14ac:dyDescent="0.25">
      <c r="C83" s="159"/>
      <c r="D83" s="165" t="s">
        <v>455</v>
      </c>
      <c r="E83" s="161">
        <v>36896</v>
      </c>
      <c r="F83" s="172" t="str">
        <f t="shared" si="0"/>
        <v>2000-01</v>
      </c>
      <c r="G83" s="68"/>
      <c r="H83" s="167" t="s">
        <v>279</v>
      </c>
      <c r="I83" s="173">
        <v>89592.114709699614</v>
      </c>
      <c r="J83" s="168">
        <f>IFERROR(MIN('MP Calculations'!$E$30/I83,1),"-")</f>
        <v>0.31014580161562261</v>
      </c>
      <c r="K83" s="12"/>
      <c r="L83" s="159">
        <v>1</v>
      </c>
      <c r="M83" s="159" t="s">
        <v>409</v>
      </c>
      <c r="N83" s="159">
        <v>24449.759999999998</v>
      </c>
      <c r="O83" s="185">
        <f t="shared" si="1"/>
        <v>24449.759999999998</v>
      </c>
      <c r="P83" s="215">
        <f t="shared" si="3"/>
        <v>7582.9904145095843</v>
      </c>
      <c r="Q83" s="215" cm="1">
        <f t="array" ref="Q83">IF(P83="-",0,P83/(1+'General inputs'!$H$32)^IFERROR(INDEX('MP Calculations'!$C$40:$C$130,MATCH(F83,'MP Calculations'!$D$40:$D$130,0),0),-1))</f>
        <v>18746.937184767106</v>
      </c>
    </row>
    <row r="84" spans="3:17" x14ac:dyDescent="0.25">
      <c r="C84" s="159"/>
      <c r="D84" s="165" t="s">
        <v>456</v>
      </c>
      <c r="E84" s="161">
        <v>36896</v>
      </c>
      <c r="F84" s="172" t="str">
        <f t="shared" si="0"/>
        <v>2000-01</v>
      </c>
      <c r="G84" s="68"/>
      <c r="H84" s="167" t="s">
        <v>279</v>
      </c>
      <c r="I84" s="173">
        <v>89592.114709699614</v>
      </c>
      <c r="J84" s="168">
        <f>IFERROR(MIN('MP Calculations'!$E$30/I84,1),"-")</f>
        <v>0.31014580161562261</v>
      </c>
      <c r="K84" s="12"/>
      <c r="L84" s="159">
        <v>1</v>
      </c>
      <c r="M84" s="159" t="s">
        <v>409</v>
      </c>
      <c r="N84" s="159">
        <v>19061.13</v>
      </c>
      <c r="O84" s="185">
        <f t="shared" si="1"/>
        <v>19061.13</v>
      </c>
      <c r="P84" s="215">
        <f t="shared" si="3"/>
        <v>5911.7294435495933</v>
      </c>
      <c r="Q84" s="215" cm="1">
        <f t="array" ref="Q84">IF(P84="-",0,P84/(1+'General inputs'!$H$32)^IFERROR(INDEX('MP Calculations'!$C$40:$C$130,MATCH(F84,'MP Calculations'!$D$40:$D$130,0),0),-1))</f>
        <v>14615.186684068878</v>
      </c>
    </row>
    <row r="85" spans="3:17" x14ac:dyDescent="0.25">
      <c r="C85" s="159"/>
      <c r="D85" s="165" t="s">
        <v>457</v>
      </c>
      <c r="E85" s="161">
        <v>36896</v>
      </c>
      <c r="F85" s="172" t="str">
        <f t="shared" si="0"/>
        <v>2000-01</v>
      </c>
      <c r="G85" s="68"/>
      <c r="H85" s="167" t="s">
        <v>279</v>
      </c>
      <c r="I85" s="173">
        <v>89592.114709699614</v>
      </c>
      <c r="J85" s="168">
        <f>IFERROR(MIN('MP Calculations'!$E$30/I85,1),"-")</f>
        <v>0.31014580161562261</v>
      </c>
      <c r="K85" s="12"/>
      <c r="L85" s="159">
        <v>1</v>
      </c>
      <c r="M85" s="159" t="s">
        <v>409</v>
      </c>
      <c r="N85" s="159">
        <v>31704.44</v>
      </c>
      <c r="O85" s="185">
        <f t="shared" si="1"/>
        <v>31704.44</v>
      </c>
      <c r="P85" s="215">
        <f t="shared" si="3"/>
        <v>9832.9989585744097</v>
      </c>
      <c r="Q85" s="215" cm="1">
        <f t="array" ref="Q85">IF(P85="-",0,P85/(1+'General inputs'!$H$32)^IFERROR(INDEX('MP Calculations'!$C$40:$C$130,MATCH(F85,'MP Calculations'!$D$40:$D$130,0),0),-1))</f>
        <v>24309.487911464883</v>
      </c>
    </row>
    <row r="86" spans="3:17" x14ac:dyDescent="0.25">
      <c r="C86" s="159"/>
      <c r="D86" s="165" t="s">
        <v>458</v>
      </c>
      <c r="E86" s="161">
        <v>36934</v>
      </c>
      <c r="F86" s="172" t="str">
        <f t="shared" ref="F86:F149" si="4">IF(E86="","-",IF(OR(E86&lt;$E$15,E86&gt;$E$16),"ERROR - date outside of range",IF(MONTH(E86)&gt;=7,YEAR(E86)&amp;"-"&amp;IF(YEAR(E86)=1999,"00",IF(AND(YEAR(E86)&gt;=2000,YEAR(E86)&lt;2009),"0","")&amp;RIGHT(YEAR(E86),2)+1),RIGHT(YEAR(E86),4)-1&amp;"-"&amp;RIGHT(YEAR(E86),2))))</f>
        <v>2000-01</v>
      </c>
      <c r="G86" s="68"/>
      <c r="H86" s="167" t="s">
        <v>279</v>
      </c>
      <c r="I86" s="173">
        <v>89592.114709699614</v>
      </c>
      <c r="J86" s="168">
        <f>IFERROR(MIN('MP Calculations'!$E$30/I86,1),"-")</f>
        <v>0.31014580161562261</v>
      </c>
      <c r="K86" s="12"/>
      <c r="L86" s="159">
        <v>1</v>
      </c>
      <c r="M86" s="159" t="s">
        <v>409</v>
      </c>
      <c r="N86" s="159">
        <v>89906.81</v>
      </c>
      <c r="O86" s="185">
        <f t="shared" ref="O86:O127" si="5">IF(N86="","-",L86*N86)</f>
        <v>89906.81</v>
      </c>
      <c r="P86" s="215">
        <f t="shared" si="3"/>
        <v>27884.219658153474</v>
      </c>
      <c r="Q86" s="215" cm="1">
        <f t="array" ref="Q86">IF(P86="-",0,P86/(1+'General inputs'!$H$32)^IFERROR(INDEX('MP Calculations'!$C$40:$C$130,MATCH(F86,'MP Calculations'!$D$40:$D$130,0),0),-1))</f>
        <v>68936.354367191787</v>
      </c>
    </row>
    <row r="87" spans="3:17" x14ac:dyDescent="0.25">
      <c r="C87" s="159"/>
      <c r="D87" s="165" t="s">
        <v>459</v>
      </c>
      <c r="E87" s="161">
        <v>36938</v>
      </c>
      <c r="F87" s="172" t="str">
        <f t="shared" si="4"/>
        <v>2000-01</v>
      </c>
      <c r="G87" s="68"/>
      <c r="H87" s="167" t="s">
        <v>279</v>
      </c>
      <c r="I87" s="173">
        <v>89592.114709699614</v>
      </c>
      <c r="J87" s="168">
        <f>IFERROR(MIN('MP Calculations'!$E$30/I87,1),"-")</f>
        <v>0.31014580161562261</v>
      </c>
      <c r="K87" s="12"/>
      <c r="L87" s="159">
        <v>31.796945999999998</v>
      </c>
      <c r="M87" s="159" t="s">
        <v>408</v>
      </c>
      <c r="N87" s="159">
        <v>995</v>
      </c>
      <c r="O87" s="185">
        <f t="shared" si="5"/>
        <v>31637.96127</v>
      </c>
      <c r="P87" s="215">
        <f t="shared" ref="P87:P150" si="6">IF(O87="-","-",IF(OR(E87&lt;$E$15,E87&gt;$E$16),0,O87*J87))</f>
        <v>9812.3808595681712</v>
      </c>
      <c r="Q87" s="215" cm="1">
        <f t="array" ref="Q87">IF(P87="-",0,P87/(1+'General inputs'!$H$32)^IFERROR(INDEX('MP Calculations'!$C$40:$C$130,MATCH(F87,'MP Calculations'!$D$40:$D$130,0),0),-1))</f>
        <v>24258.515117644693</v>
      </c>
    </row>
    <row r="88" spans="3:17" x14ac:dyDescent="0.25">
      <c r="C88" s="159"/>
      <c r="D88" s="165" t="s">
        <v>459</v>
      </c>
      <c r="E88" s="161">
        <v>36938</v>
      </c>
      <c r="F88" s="172" t="str">
        <f t="shared" si="4"/>
        <v>2000-01</v>
      </c>
      <c r="G88" s="68"/>
      <c r="H88" s="167" t="s">
        <v>279</v>
      </c>
      <c r="I88" s="173">
        <v>89592.114709699614</v>
      </c>
      <c r="J88" s="168">
        <f>IFERROR(MIN('MP Calculations'!$E$30/I88,1),"-")</f>
        <v>0.31014580161562261</v>
      </c>
      <c r="K88" s="12"/>
      <c r="L88" s="159">
        <v>80.628317999999993</v>
      </c>
      <c r="M88" s="159" t="s">
        <v>408</v>
      </c>
      <c r="N88" s="159">
        <v>995</v>
      </c>
      <c r="O88" s="185">
        <f t="shared" si="5"/>
        <v>80225.17641</v>
      </c>
      <c r="P88" s="215">
        <f t="shared" si="6"/>
        <v>24881.501647434186</v>
      </c>
      <c r="Q88" s="215" cm="1">
        <f t="array" ref="Q88">IF(P88="-",0,P88/(1+'General inputs'!$H$32)^IFERROR(INDEX('MP Calculations'!$C$40:$C$130,MATCH(F88,'MP Calculations'!$D$40:$D$130,0),0),-1))</f>
        <v>61512.928666585271</v>
      </c>
    </row>
    <row r="89" spans="3:17" x14ac:dyDescent="0.25">
      <c r="C89" s="159"/>
      <c r="D89" s="165" t="s">
        <v>459</v>
      </c>
      <c r="E89" s="161">
        <v>36938</v>
      </c>
      <c r="F89" s="172" t="str">
        <f t="shared" si="4"/>
        <v>2000-01</v>
      </c>
      <c r="G89" s="68"/>
      <c r="H89" s="167" t="s">
        <v>279</v>
      </c>
      <c r="I89" s="173">
        <v>89592.114709699614</v>
      </c>
      <c r="J89" s="168">
        <f>IFERROR(MIN('MP Calculations'!$E$30/I89,1),"-")</f>
        <v>0.31014580161562261</v>
      </c>
      <c r="K89" s="12"/>
      <c r="L89" s="159">
        <v>72.968866000000006</v>
      </c>
      <c r="M89" s="159" t="s">
        <v>408</v>
      </c>
      <c r="N89" s="159">
        <v>995</v>
      </c>
      <c r="O89" s="185">
        <f t="shared" si="5"/>
        <v>72604.021670000002</v>
      </c>
      <c r="P89" s="215">
        <f t="shared" si="6"/>
        <v>22517.832501360186</v>
      </c>
      <c r="Q89" s="215" cm="1">
        <f t="array" ref="Q89">IF(P89="-",0,P89/(1+'General inputs'!$H$32)^IFERROR(INDEX('MP Calculations'!$C$40:$C$130,MATCH(F89,'MP Calculations'!$D$40:$D$130,0),0),-1))</f>
        <v>55669.382178351028</v>
      </c>
    </row>
    <row r="90" spans="3:17" x14ac:dyDescent="0.25">
      <c r="C90" s="159"/>
      <c r="D90" s="165" t="s">
        <v>459</v>
      </c>
      <c r="E90" s="161">
        <v>36938</v>
      </c>
      <c r="F90" s="172" t="str">
        <f t="shared" si="4"/>
        <v>2000-01</v>
      </c>
      <c r="G90" s="68"/>
      <c r="H90" s="167" t="s">
        <v>279</v>
      </c>
      <c r="I90" s="173">
        <v>89592.114709699614</v>
      </c>
      <c r="J90" s="168">
        <f>IFERROR(MIN('MP Calculations'!$E$30/I90,1),"-")</f>
        <v>0.31014580161562261</v>
      </c>
      <c r="K90" s="12"/>
      <c r="L90" s="159">
        <v>42.196410999999998</v>
      </c>
      <c r="M90" s="159" t="s">
        <v>408</v>
      </c>
      <c r="N90" s="159">
        <v>995</v>
      </c>
      <c r="O90" s="185">
        <f t="shared" si="5"/>
        <v>41985.428945</v>
      </c>
      <c r="P90" s="215">
        <f t="shared" si="6"/>
        <v>13021.604516322788</v>
      </c>
      <c r="Q90" s="215" cm="1">
        <f t="array" ref="Q90">IF(P90="-",0,P90/(1+'General inputs'!$H$32)^IFERROR(INDEX('MP Calculations'!$C$40:$C$130,MATCH(F90,'MP Calculations'!$D$40:$D$130,0),0),-1))</f>
        <v>32192.471382435557</v>
      </c>
    </row>
    <row r="91" spans="3:17" x14ac:dyDescent="0.25">
      <c r="C91" s="159"/>
      <c r="D91" s="165" t="s">
        <v>459</v>
      </c>
      <c r="E91" s="161">
        <v>36938</v>
      </c>
      <c r="F91" s="172" t="str">
        <f t="shared" si="4"/>
        <v>2000-01</v>
      </c>
      <c r="G91" s="68"/>
      <c r="H91" s="167" t="s">
        <v>279</v>
      </c>
      <c r="I91" s="173">
        <v>89592.114709699614</v>
      </c>
      <c r="J91" s="168">
        <f>IFERROR(MIN('MP Calculations'!$E$30/I91,1),"-")</f>
        <v>0.31014580161562261</v>
      </c>
      <c r="K91" s="12"/>
      <c r="L91" s="159">
        <v>69.271204999999995</v>
      </c>
      <c r="M91" s="159" t="s">
        <v>408</v>
      </c>
      <c r="N91" s="159">
        <v>995</v>
      </c>
      <c r="O91" s="185">
        <f t="shared" si="5"/>
        <v>68924.848975000001</v>
      </c>
      <c r="P91" s="215">
        <f t="shared" si="6"/>
        <v>21376.752536587101</v>
      </c>
      <c r="Q91" s="215" cm="1">
        <f t="array" ref="Q91">IF(P91="-",0,P91/(1+'General inputs'!$H$32)^IFERROR(INDEX('MP Calculations'!$C$40:$C$130,MATCH(F91,'MP Calculations'!$D$40:$D$130,0),0),-1))</f>
        <v>52848.36391865951</v>
      </c>
    </row>
    <row r="92" spans="3:17" x14ac:dyDescent="0.25">
      <c r="C92" s="159"/>
      <c r="D92" s="165" t="s">
        <v>460</v>
      </c>
      <c r="E92" s="161">
        <v>37123</v>
      </c>
      <c r="F92" s="172" t="str">
        <f t="shared" si="4"/>
        <v>2001-02</v>
      </c>
      <c r="G92" s="68"/>
      <c r="H92" s="167" t="s">
        <v>279</v>
      </c>
      <c r="I92" s="173">
        <v>89592.114709699614</v>
      </c>
      <c r="J92" s="168">
        <f>IFERROR(MIN('MP Calculations'!$E$30/I92,1),"-")</f>
        <v>0.31014580161562261</v>
      </c>
      <c r="K92" s="12"/>
      <c r="L92" s="159">
        <v>1</v>
      </c>
      <c r="M92" s="159" t="s">
        <v>409</v>
      </c>
      <c r="N92" s="159">
        <v>57524.09</v>
      </c>
      <c r="O92" s="185">
        <f t="shared" si="5"/>
        <v>57524.09</v>
      </c>
      <c r="P92" s="215">
        <f t="shared" si="6"/>
        <v>17840.855005259218</v>
      </c>
      <c r="Q92" s="215" cm="1">
        <f t="array" ref="Q92">IF(P92="-",0,P92/(1+'General inputs'!$H$32)^IFERROR(INDEX('MP Calculations'!$C$40:$C$130,MATCH(F92,'MP Calculations'!$D$40:$D$130,0),0),-1))</f>
        <v>42328.975953557769</v>
      </c>
    </row>
    <row r="93" spans="3:17" x14ac:dyDescent="0.25">
      <c r="C93" s="159"/>
      <c r="D93" s="165" t="s">
        <v>461</v>
      </c>
      <c r="E93" s="161">
        <v>37154</v>
      </c>
      <c r="F93" s="172" t="str">
        <f t="shared" si="4"/>
        <v>2001-02</v>
      </c>
      <c r="G93" s="68"/>
      <c r="H93" s="167" t="s">
        <v>279</v>
      </c>
      <c r="I93" s="173">
        <v>89592.114709699614</v>
      </c>
      <c r="J93" s="168">
        <f>IFERROR(MIN('MP Calculations'!$E$30/I93,1),"-")</f>
        <v>0.31014580161562261</v>
      </c>
      <c r="K93" s="12"/>
      <c r="L93" s="159">
        <v>1</v>
      </c>
      <c r="M93" s="159" t="s">
        <v>409</v>
      </c>
      <c r="N93" s="159">
        <v>1618.26</v>
      </c>
      <c r="O93" s="185">
        <f t="shared" si="5"/>
        <v>1618.26</v>
      </c>
      <c r="P93" s="215">
        <f t="shared" si="6"/>
        <v>501.89654492249741</v>
      </c>
      <c r="Q93" s="215" cm="1">
        <f t="array" ref="Q93">IF(P93="-",0,P93/(1+'General inputs'!$H$32)^IFERROR(INDEX('MP Calculations'!$C$40:$C$130,MATCH(F93,'MP Calculations'!$D$40:$D$130,0),0),-1))</f>
        <v>1190.7930855856112</v>
      </c>
    </row>
    <row r="94" spans="3:17" x14ac:dyDescent="0.25">
      <c r="C94" s="159"/>
      <c r="D94" s="165" t="s">
        <v>462</v>
      </c>
      <c r="E94" s="161">
        <v>37162</v>
      </c>
      <c r="F94" s="172" t="str">
        <f t="shared" si="4"/>
        <v>2001-02</v>
      </c>
      <c r="G94" s="68"/>
      <c r="H94" s="167" t="s">
        <v>279</v>
      </c>
      <c r="I94" s="173">
        <v>89592.114709699614</v>
      </c>
      <c r="J94" s="168">
        <f>IFERROR(MIN('MP Calculations'!$E$30/I94,1),"-")</f>
        <v>0.31014580161562261</v>
      </c>
      <c r="K94" s="12"/>
      <c r="L94" s="159">
        <v>1</v>
      </c>
      <c r="M94" s="159" t="s">
        <v>409</v>
      </c>
      <c r="N94" s="159">
        <v>33771.68</v>
      </c>
      <c r="O94" s="185">
        <f t="shared" si="5"/>
        <v>33771.68</v>
      </c>
      <c r="P94" s="215">
        <f t="shared" si="6"/>
        <v>10474.144765506289</v>
      </c>
      <c r="Q94" s="215" cm="1">
        <f t="array" ref="Q94">IF(P94="-",0,P94/(1+'General inputs'!$H$32)^IFERROR(INDEX('MP Calculations'!$C$40:$C$130,MATCH(F94,'MP Calculations'!$D$40:$D$130,0),0),-1))</f>
        <v>24850.816946973831</v>
      </c>
    </row>
    <row r="95" spans="3:17" x14ac:dyDescent="0.25">
      <c r="C95" s="159"/>
      <c r="D95" s="165" t="s">
        <v>300</v>
      </c>
      <c r="E95" s="161">
        <v>37197</v>
      </c>
      <c r="F95" s="172" t="str">
        <f t="shared" si="4"/>
        <v>2001-02</v>
      </c>
      <c r="G95" s="68"/>
      <c r="H95" s="167" t="s">
        <v>279</v>
      </c>
      <c r="I95" s="173">
        <v>89592.114709699614</v>
      </c>
      <c r="J95" s="168">
        <f>IFERROR(MIN('MP Calculations'!$E$30/I95,1),"-")</f>
        <v>0.31014580161562261</v>
      </c>
      <c r="K95" s="12"/>
      <c r="L95" s="159">
        <v>61.230373</v>
      </c>
      <c r="M95" s="159" t="s">
        <v>408</v>
      </c>
      <c r="N95" s="159">
        <v>809</v>
      </c>
      <c r="O95" s="185">
        <f t="shared" si="5"/>
        <v>49535.371757000001</v>
      </c>
      <c r="P95" s="215">
        <f t="shared" si="6"/>
        <v>15363.187581902637</v>
      </c>
      <c r="Q95" s="215" cm="1">
        <f t="array" ref="Q95">IF(P95="-",0,P95/(1+'General inputs'!$H$32)^IFERROR(INDEX('MP Calculations'!$C$40:$C$130,MATCH(F95,'MP Calculations'!$D$40:$D$130,0),0),-1))</f>
        <v>36450.495087407689</v>
      </c>
    </row>
    <row r="96" spans="3:17" x14ac:dyDescent="0.25">
      <c r="C96" s="159"/>
      <c r="D96" s="165" t="s">
        <v>300</v>
      </c>
      <c r="E96" s="161">
        <v>37197</v>
      </c>
      <c r="F96" s="172" t="str">
        <f t="shared" si="4"/>
        <v>2001-02</v>
      </c>
      <c r="G96" s="68"/>
      <c r="H96" s="167" t="s">
        <v>279</v>
      </c>
      <c r="I96" s="173">
        <v>89592.114709699614</v>
      </c>
      <c r="J96" s="168">
        <f>IFERROR(MIN('MP Calculations'!$E$30/I96,1),"-")</f>
        <v>0.31014580161562261</v>
      </c>
      <c r="K96" s="12"/>
      <c r="L96" s="159">
        <v>40.898347999999999</v>
      </c>
      <c r="M96" s="159" t="s">
        <v>408</v>
      </c>
      <c r="N96" s="159">
        <v>809</v>
      </c>
      <c r="O96" s="185">
        <f t="shared" si="5"/>
        <v>33086.763531999997</v>
      </c>
      <c r="P96" s="215">
        <f t="shared" si="6"/>
        <v>10261.720798498687</v>
      </c>
      <c r="Q96" s="215" cm="1">
        <f t="array" ref="Q96">IF(P96="-",0,P96/(1+'General inputs'!$H$32)^IFERROR(INDEX('MP Calculations'!$C$40:$C$130,MATCH(F96,'MP Calculations'!$D$40:$D$130,0),0),-1))</f>
        <v>24346.822660333783</v>
      </c>
    </row>
    <row r="97" spans="3:17" x14ac:dyDescent="0.25">
      <c r="C97" s="159"/>
      <c r="D97" s="165" t="s">
        <v>300</v>
      </c>
      <c r="E97" s="161">
        <v>37197</v>
      </c>
      <c r="F97" s="172" t="str">
        <f t="shared" si="4"/>
        <v>2001-02</v>
      </c>
      <c r="G97" s="68"/>
      <c r="H97" s="167" t="s">
        <v>279</v>
      </c>
      <c r="I97" s="173">
        <v>89592.114709699614</v>
      </c>
      <c r="J97" s="168">
        <f>IFERROR(MIN('MP Calculations'!$E$30/I97,1),"-")</f>
        <v>0.31014580161562261</v>
      </c>
      <c r="K97" s="12"/>
      <c r="L97" s="159">
        <v>19.060655000000001</v>
      </c>
      <c r="M97" s="159" t="s">
        <v>408</v>
      </c>
      <c r="N97" s="159">
        <v>809</v>
      </c>
      <c r="O97" s="185">
        <f t="shared" si="5"/>
        <v>15420.069895000001</v>
      </c>
      <c r="P97" s="215">
        <f t="shared" si="6"/>
        <v>4782.4699385537051</v>
      </c>
      <c r="Q97" s="215" cm="1">
        <f t="array" ref="Q97">IF(P97="-",0,P97/(1+'General inputs'!$H$32)^IFERROR(INDEX('MP Calculations'!$C$40:$C$130,MATCH(F97,'MP Calculations'!$D$40:$D$130,0),0),-1))</f>
        <v>11346.824743992216</v>
      </c>
    </row>
    <row r="98" spans="3:17" x14ac:dyDescent="0.25">
      <c r="C98" s="159"/>
      <c r="D98" s="165" t="s">
        <v>300</v>
      </c>
      <c r="E98" s="161">
        <v>37197</v>
      </c>
      <c r="F98" s="172" t="str">
        <f t="shared" si="4"/>
        <v>2001-02</v>
      </c>
      <c r="G98" s="68"/>
      <c r="H98" s="167" t="s">
        <v>279</v>
      </c>
      <c r="I98" s="173">
        <v>89592.114709699614</v>
      </c>
      <c r="J98" s="168">
        <f>IFERROR(MIN('MP Calculations'!$E$30/I98,1),"-")</f>
        <v>0.31014580161562261</v>
      </c>
      <c r="K98" s="12"/>
      <c r="L98" s="159">
        <v>60.050946000000003</v>
      </c>
      <c r="M98" s="159" t="s">
        <v>408</v>
      </c>
      <c r="N98" s="159">
        <v>809</v>
      </c>
      <c r="O98" s="185">
        <f t="shared" si="5"/>
        <v>48581.215314000001</v>
      </c>
      <c r="P98" s="215">
        <f t="shared" si="6"/>
        <v>15067.259967021691</v>
      </c>
      <c r="Q98" s="215" cm="1">
        <f t="array" ref="Q98">IF(P98="-",0,P98/(1+'General inputs'!$H$32)^IFERROR(INDEX('MP Calculations'!$C$40:$C$130,MATCH(F98,'MP Calculations'!$D$40:$D$130,0),0),-1))</f>
        <v>35748.381153372764</v>
      </c>
    </row>
    <row r="99" spans="3:17" x14ac:dyDescent="0.25">
      <c r="C99" s="159"/>
      <c r="D99" s="165" t="s">
        <v>300</v>
      </c>
      <c r="E99" s="161">
        <v>37197</v>
      </c>
      <c r="F99" s="172" t="str">
        <f t="shared" si="4"/>
        <v>2001-02</v>
      </c>
      <c r="G99" s="68"/>
      <c r="H99" s="167" t="s">
        <v>279</v>
      </c>
      <c r="I99" s="173">
        <v>89592.114709699614</v>
      </c>
      <c r="J99" s="168">
        <f>IFERROR(MIN('MP Calculations'!$E$30/I99,1),"-")</f>
        <v>0.31014580161562261</v>
      </c>
      <c r="K99" s="12"/>
      <c r="L99" s="159">
        <v>36.731006000000001</v>
      </c>
      <c r="M99" s="159" t="s">
        <v>408</v>
      </c>
      <c r="N99" s="159">
        <v>809</v>
      </c>
      <c r="O99" s="185">
        <f t="shared" si="5"/>
        <v>29715.383854</v>
      </c>
      <c r="P99" s="215">
        <f t="shared" si="6"/>
        <v>9216.1015457147587</v>
      </c>
      <c r="Q99" s="215" cm="1">
        <f t="array" ref="Q99">IF(P99="-",0,P99/(1+'General inputs'!$H$32)^IFERROR(INDEX('MP Calculations'!$C$40:$C$130,MATCH(F99,'MP Calculations'!$D$40:$D$130,0),0),-1))</f>
        <v>21866.000289734347</v>
      </c>
    </row>
    <row r="100" spans="3:17" x14ac:dyDescent="0.25">
      <c r="C100" s="159"/>
      <c r="D100" s="165" t="s">
        <v>300</v>
      </c>
      <c r="E100" s="161">
        <v>37246</v>
      </c>
      <c r="F100" s="172" t="str">
        <f t="shared" si="4"/>
        <v>2001-02</v>
      </c>
      <c r="G100" s="68"/>
      <c r="H100" s="167" t="s">
        <v>279</v>
      </c>
      <c r="I100" s="173">
        <v>89592.114709699614</v>
      </c>
      <c r="J100" s="168">
        <f>IFERROR(MIN('MP Calculations'!$E$30/I100,1),"-")</f>
        <v>0.31014580161562261</v>
      </c>
      <c r="K100" s="12"/>
      <c r="L100" s="159">
        <v>47.847780999999998</v>
      </c>
      <c r="M100" s="159" t="s">
        <v>408</v>
      </c>
      <c r="N100" s="159">
        <v>809</v>
      </c>
      <c r="O100" s="185">
        <f t="shared" si="5"/>
        <v>38708.854828999996</v>
      </c>
      <c r="P100" s="215">
        <f t="shared" si="6"/>
        <v>12005.388810562969</v>
      </c>
      <c r="Q100" s="215" cm="1">
        <f t="array" ref="Q100">IF(P100="-",0,P100/(1+'General inputs'!$H$32)^IFERROR(INDEX('MP Calculations'!$C$40:$C$130,MATCH(F100,'MP Calculations'!$D$40:$D$130,0),0),-1))</f>
        <v>28483.826258642239</v>
      </c>
    </row>
    <row r="101" spans="3:17" x14ac:dyDescent="0.25">
      <c r="C101" s="159"/>
      <c r="D101" s="165" t="s">
        <v>300</v>
      </c>
      <c r="E101" s="161">
        <v>37246</v>
      </c>
      <c r="F101" s="172" t="str">
        <f t="shared" si="4"/>
        <v>2001-02</v>
      </c>
      <c r="G101" s="68"/>
      <c r="H101" s="167" t="s">
        <v>279</v>
      </c>
      <c r="I101" s="173">
        <v>89592.114709699614</v>
      </c>
      <c r="J101" s="168">
        <f>IFERROR(MIN('MP Calculations'!$E$30/I101,1),"-")</f>
        <v>0.31014580161562261</v>
      </c>
      <c r="K101" s="12"/>
      <c r="L101" s="159">
        <v>26.99344</v>
      </c>
      <c r="M101" s="159" t="s">
        <v>408</v>
      </c>
      <c r="N101" s="159">
        <v>809</v>
      </c>
      <c r="O101" s="185">
        <f t="shared" si="5"/>
        <v>21837.69296</v>
      </c>
      <c r="P101" s="215">
        <f t="shared" si="6"/>
        <v>6772.8687885150384</v>
      </c>
      <c r="Q101" s="215" cm="1">
        <f t="array" ref="Q101">IF(P101="-",0,P101/(1+'General inputs'!$H$32)^IFERROR(INDEX('MP Calculations'!$C$40:$C$130,MATCH(F101,'MP Calculations'!$D$40:$D$130,0),0),-1))</f>
        <v>16069.218655784347</v>
      </c>
    </row>
    <row r="102" spans="3:17" x14ac:dyDescent="0.25">
      <c r="C102" s="159"/>
      <c r="D102" s="165" t="s">
        <v>292</v>
      </c>
      <c r="E102" s="161">
        <v>37385</v>
      </c>
      <c r="F102" s="172" t="str">
        <f t="shared" si="4"/>
        <v>2001-02</v>
      </c>
      <c r="G102" s="68"/>
      <c r="H102" s="167" t="s">
        <v>279</v>
      </c>
      <c r="I102" s="173">
        <v>89592.114709699614</v>
      </c>
      <c r="J102" s="168">
        <f>IFERROR(MIN('MP Calculations'!$E$30/I102,1),"-")</f>
        <v>0.31014580161562261</v>
      </c>
      <c r="K102" s="12"/>
      <c r="L102" s="159">
        <v>40.250587000000003</v>
      </c>
      <c r="M102" s="159" t="s">
        <v>408</v>
      </c>
      <c r="N102" s="159">
        <v>726</v>
      </c>
      <c r="O102" s="185">
        <f t="shared" si="5"/>
        <v>29221.926162000003</v>
      </c>
      <c r="P102" s="215">
        <f t="shared" si="6"/>
        <v>9063.0577142660259</v>
      </c>
      <c r="Q102" s="215" cm="1">
        <f t="array" ref="Q102">IF(P102="-",0,P102/(1+'General inputs'!$H$32)^IFERROR(INDEX('MP Calculations'!$C$40:$C$130,MATCH(F102,'MP Calculations'!$D$40:$D$130,0),0),-1))</f>
        <v>21502.890525133713</v>
      </c>
    </row>
    <row r="103" spans="3:17" x14ac:dyDescent="0.25">
      <c r="C103" s="159"/>
      <c r="D103" s="165" t="s">
        <v>463</v>
      </c>
      <c r="E103" s="161">
        <v>37438</v>
      </c>
      <c r="F103" s="172" t="str">
        <f t="shared" si="4"/>
        <v>2002-03</v>
      </c>
      <c r="G103" s="68"/>
      <c r="H103" s="167" t="s">
        <v>279</v>
      </c>
      <c r="I103" s="173">
        <v>89592.114709699614</v>
      </c>
      <c r="J103" s="168">
        <f>IFERROR(MIN('MP Calculations'!$E$30/I103,1),"-")</f>
        <v>0.31014580161562261</v>
      </c>
      <c r="K103" s="12"/>
      <c r="L103" s="159">
        <v>1</v>
      </c>
      <c r="M103" s="159" t="s">
        <v>409</v>
      </c>
      <c r="N103" s="159">
        <v>724.81</v>
      </c>
      <c r="O103" s="185">
        <f t="shared" si="5"/>
        <v>724.81</v>
      </c>
      <c r="P103" s="215">
        <f t="shared" si="6"/>
        <v>224.79677846901942</v>
      </c>
      <c r="Q103" s="215" cm="1">
        <f t="array" ref="Q103">IF(P103="-",0,P103/(1+'General inputs'!$H$32)^IFERROR(INDEX('MP Calculations'!$C$40:$C$130,MATCH(F103,'MP Calculations'!$D$40:$D$130,0),0),-1))</f>
        <v>511.85206814472326</v>
      </c>
    </row>
    <row r="104" spans="3:17" x14ac:dyDescent="0.25">
      <c r="C104" s="159"/>
      <c r="D104" s="165" t="s">
        <v>464</v>
      </c>
      <c r="E104" s="161">
        <v>37446</v>
      </c>
      <c r="F104" s="172" t="str">
        <f t="shared" si="4"/>
        <v>2002-03</v>
      </c>
      <c r="G104" s="68"/>
      <c r="H104" s="167" t="s">
        <v>279</v>
      </c>
      <c r="I104" s="173">
        <v>89592.114709699614</v>
      </c>
      <c r="J104" s="168">
        <f>IFERROR(MIN('MP Calculations'!$E$30/I104,1),"-")</f>
        <v>0.31014580161562261</v>
      </c>
      <c r="K104" s="12"/>
      <c r="L104" s="159">
        <v>1</v>
      </c>
      <c r="M104" s="159" t="s">
        <v>409</v>
      </c>
      <c r="N104" s="159">
        <v>165748.38</v>
      </c>
      <c r="O104" s="185">
        <f t="shared" si="5"/>
        <v>165748.38</v>
      </c>
      <c r="P104" s="215">
        <f t="shared" si="6"/>
        <v>51406.16418159083</v>
      </c>
      <c r="Q104" s="215" cm="1">
        <f t="array" ref="Q104">IF(P104="-",0,P104/(1+'General inputs'!$H$32)^IFERROR(INDEX('MP Calculations'!$C$40:$C$130,MATCH(F104,'MP Calculations'!$D$40:$D$130,0),0),-1))</f>
        <v>117049.50413851559</v>
      </c>
    </row>
    <row r="105" spans="3:17" x14ac:dyDescent="0.25">
      <c r="C105" s="159"/>
      <c r="D105" s="165" t="s">
        <v>465</v>
      </c>
      <c r="E105" s="161">
        <v>37525</v>
      </c>
      <c r="F105" s="172" t="str">
        <f t="shared" si="4"/>
        <v>2002-03</v>
      </c>
      <c r="G105" s="68"/>
      <c r="H105" s="167" t="s">
        <v>279</v>
      </c>
      <c r="I105" s="173">
        <v>89592.114709699614</v>
      </c>
      <c r="J105" s="168">
        <f>IFERROR(MIN('MP Calculations'!$E$30/I105,1),"-")</f>
        <v>0.31014580161562261</v>
      </c>
      <c r="K105" s="12"/>
      <c r="L105" s="159">
        <v>41.563341000000001</v>
      </c>
      <c r="M105" s="159" t="s">
        <v>408</v>
      </c>
      <c r="N105" s="159">
        <v>809</v>
      </c>
      <c r="O105" s="185">
        <f t="shared" si="5"/>
        <v>33624.742869000002</v>
      </c>
      <c r="P105" s="215">
        <f t="shared" si="6"/>
        <v>10428.572831225196</v>
      </c>
      <c r="Q105" s="215" cm="1">
        <f t="array" ref="Q105">IF(P105="-",0,P105/(1+'General inputs'!$H$32)^IFERROR(INDEX('MP Calculations'!$C$40:$C$130,MATCH(F105,'MP Calculations'!$D$40:$D$130,0),0),-1))</f>
        <v>23745.38731299539</v>
      </c>
    </row>
    <row r="106" spans="3:17" x14ac:dyDescent="0.25">
      <c r="C106" s="159"/>
      <c r="D106" s="165" t="s">
        <v>437</v>
      </c>
      <c r="E106" s="161">
        <v>37525</v>
      </c>
      <c r="F106" s="172" t="str">
        <f t="shared" si="4"/>
        <v>2002-03</v>
      </c>
      <c r="G106" s="68"/>
      <c r="H106" s="167" t="s">
        <v>279</v>
      </c>
      <c r="I106" s="173">
        <v>89592.114709699614</v>
      </c>
      <c r="J106" s="168">
        <f>IFERROR(MIN('MP Calculations'!$E$30/I106,1),"-")</f>
        <v>0.31014580161562261</v>
      </c>
      <c r="K106" s="12"/>
      <c r="L106" s="159">
        <v>60.894640000000003</v>
      </c>
      <c r="M106" s="159" t="s">
        <v>408</v>
      </c>
      <c r="N106" s="159">
        <v>622</v>
      </c>
      <c r="O106" s="185">
        <f t="shared" si="5"/>
        <v>37876.466079999998</v>
      </c>
      <c r="P106" s="215">
        <f t="shared" si="6"/>
        <v>11747.226934748538</v>
      </c>
      <c r="Q106" s="215" cm="1">
        <f t="array" ref="Q106">IF(P106="-",0,P106/(1+'General inputs'!$H$32)^IFERROR(INDEX('MP Calculations'!$C$40:$C$130,MATCH(F106,'MP Calculations'!$D$40:$D$130,0),0),-1))</f>
        <v>26747.902894636467</v>
      </c>
    </row>
    <row r="107" spans="3:17" x14ac:dyDescent="0.25">
      <c r="C107" s="159"/>
      <c r="D107" s="165" t="s">
        <v>284</v>
      </c>
      <c r="E107" s="161">
        <v>37599</v>
      </c>
      <c r="F107" s="172" t="str">
        <f t="shared" si="4"/>
        <v>2002-03</v>
      </c>
      <c r="G107" s="68"/>
      <c r="H107" s="167" t="s">
        <v>279</v>
      </c>
      <c r="I107" s="173">
        <v>89592.114709699614</v>
      </c>
      <c r="J107" s="168">
        <f>IFERROR(MIN('MP Calculations'!$E$30/I107,1),"-")</f>
        <v>0.31014580161562261</v>
      </c>
      <c r="K107" s="12"/>
      <c r="L107" s="159">
        <v>36.785736999999997</v>
      </c>
      <c r="M107" s="159" t="s">
        <v>408</v>
      </c>
      <c r="N107" s="159">
        <v>405</v>
      </c>
      <c r="O107" s="185">
        <f t="shared" si="5"/>
        <v>14898.223484999999</v>
      </c>
      <c r="P107" s="215">
        <f t="shared" si="6"/>
        <v>4620.6214654040195</v>
      </c>
      <c r="Q107" s="215" cm="1">
        <f t="array" ref="Q107">IF(P107="-",0,P107/(1+'General inputs'!$H$32)^IFERROR(INDEX('MP Calculations'!$C$40:$C$130,MATCH(F107,'MP Calculations'!$D$40:$D$130,0),0),-1))</f>
        <v>10520.945492583623</v>
      </c>
    </row>
    <row r="108" spans="3:17" x14ac:dyDescent="0.25">
      <c r="C108" s="159"/>
      <c r="D108" s="165" t="s">
        <v>284</v>
      </c>
      <c r="E108" s="161">
        <v>37599</v>
      </c>
      <c r="F108" s="172" t="str">
        <f t="shared" si="4"/>
        <v>2002-03</v>
      </c>
      <c r="G108" s="68"/>
      <c r="H108" s="167" t="s">
        <v>279</v>
      </c>
      <c r="I108" s="173">
        <v>89592.114709699614</v>
      </c>
      <c r="J108" s="168">
        <f>IFERROR(MIN('MP Calculations'!$E$30/I108,1),"-")</f>
        <v>0.31014580161562261</v>
      </c>
      <c r="K108" s="12"/>
      <c r="L108" s="159">
        <v>1.499992</v>
      </c>
      <c r="M108" s="159" t="s">
        <v>408</v>
      </c>
      <c r="N108" s="159">
        <v>405</v>
      </c>
      <c r="O108" s="185">
        <f t="shared" si="5"/>
        <v>607.49675999999999</v>
      </c>
      <c r="P108" s="215">
        <f t="shared" si="6"/>
        <v>188.41256960909351</v>
      </c>
      <c r="Q108" s="215" cm="1">
        <f t="array" ref="Q108">IF(P108="-",0,P108/(1+'General inputs'!$H$32)^IFERROR(INDEX('MP Calculations'!$C$40:$C$130,MATCH(F108,'MP Calculations'!$D$40:$D$130,0),0),-1))</f>
        <v>429.00687490131014</v>
      </c>
    </row>
    <row r="109" spans="3:17" x14ac:dyDescent="0.25">
      <c r="C109" s="159"/>
      <c r="D109" s="165" t="s">
        <v>283</v>
      </c>
      <c r="E109" s="161">
        <v>37599</v>
      </c>
      <c r="F109" s="172" t="str">
        <f t="shared" si="4"/>
        <v>2002-03</v>
      </c>
      <c r="G109" s="68"/>
      <c r="H109" s="167" t="s">
        <v>279</v>
      </c>
      <c r="I109" s="173">
        <v>89592.114709699614</v>
      </c>
      <c r="J109" s="168">
        <f>IFERROR(MIN('MP Calculations'!$E$30/I109,1),"-")</f>
        <v>0.31014580161562261</v>
      </c>
      <c r="K109" s="12"/>
      <c r="L109" s="159">
        <v>14.211611</v>
      </c>
      <c r="M109" s="159" t="s">
        <v>408</v>
      </c>
      <c r="N109" s="159">
        <v>622</v>
      </c>
      <c r="O109" s="185">
        <f t="shared" si="5"/>
        <v>8839.6220419999991</v>
      </c>
      <c r="P109" s="215">
        <f t="shared" si="6"/>
        <v>2741.5716641952167</v>
      </c>
      <c r="Q109" s="215" cm="1">
        <f t="array" ref="Q109">IF(P109="-",0,P109/(1+'General inputs'!$H$32)^IFERROR(INDEX('MP Calculations'!$C$40:$C$130,MATCH(F109,'MP Calculations'!$D$40:$D$130,0),0),-1))</f>
        <v>6242.4343259825082</v>
      </c>
    </row>
    <row r="110" spans="3:17" x14ac:dyDescent="0.25">
      <c r="C110" s="159"/>
      <c r="D110" s="165" t="s">
        <v>284</v>
      </c>
      <c r="E110" s="161">
        <v>37599</v>
      </c>
      <c r="F110" s="172" t="str">
        <f t="shared" si="4"/>
        <v>2002-03</v>
      </c>
      <c r="G110" s="68"/>
      <c r="H110" s="167" t="s">
        <v>279</v>
      </c>
      <c r="I110" s="173">
        <v>89592.114709699614</v>
      </c>
      <c r="J110" s="168">
        <f>IFERROR(MIN('MP Calculations'!$E$30/I110,1),"-")</f>
        <v>0.31014580161562261</v>
      </c>
      <c r="K110" s="12"/>
      <c r="L110" s="159">
        <v>49.096023000000002</v>
      </c>
      <c r="M110" s="159" t="s">
        <v>408</v>
      </c>
      <c r="N110" s="159">
        <v>405</v>
      </c>
      <c r="O110" s="185">
        <f t="shared" si="5"/>
        <v>19883.889315</v>
      </c>
      <c r="P110" s="215">
        <f t="shared" si="6"/>
        <v>6166.9047908369885</v>
      </c>
      <c r="Q110" s="215" cm="1">
        <f t="array" ref="Q110">IF(P110="-",0,P110/(1+'General inputs'!$H$32)^IFERROR(INDEX('MP Calculations'!$C$40:$C$130,MATCH(F110,'MP Calculations'!$D$40:$D$130,0),0),-1))</f>
        <v>14041.762487608499</v>
      </c>
    </row>
    <row r="111" spans="3:17" x14ac:dyDescent="0.25">
      <c r="C111" s="159"/>
      <c r="D111" s="165" t="s">
        <v>295</v>
      </c>
      <c r="E111" s="161">
        <v>37599</v>
      </c>
      <c r="F111" s="172" t="str">
        <f t="shared" si="4"/>
        <v>2002-03</v>
      </c>
      <c r="G111" s="68"/>
      <c r="H111" s="167" t="s">
        <v>279</v>
      </c>
      <c r="I111" s="173">
        <v>89592.114709699614</v>
      </c>
      <c r="J111" s="168">
        <f>IFERROR(MIN('MP Calculations'!$E$30/I111,1),"-")</f>
        <v>0.31014580161562261</v>
      </c>
      <c r="K111" s="12"/>
      <c r="L111" s="159">
        <v>4.4570319999999999</v>
      </c>
      <c r="M111" s="159" t="s">
        <v>408</v>
      </c>
      <c r="N111" s="159">
        <v>236</v>
      </c>
      <c r="O111" s="185">
        <f t="shared" si="5"/>
        <v>1051.8595519999999</v>
      </c>
      <c r="P111" s="215">
        <f t="shared" si="6"/>
        <v>326.22982394208964</v>
      </c>
      <c r="Q111" s="215" cm="1">
        <f t="array" ref="Q111">IF(P111="-",0,P111/(1+'General inputs'!$H$32)^IFERROR(INDEX('MP Calculations'!$C$40:$C$130,MATCH(F111,'MP Calculations'!$D$40:$D$130,0),0),-1))</f>
        <v>742.81051184307898</v>
      </c>
    </row>
    <row r="112" spans="3:17" x14ac:dyDescent="0.25">
      <c r="C112" s="159"/>
      <c r="D112" s="165" t="s">
        <v>295</v>
      </c>
      <c r="E112" s="161">
        <v>37599</v>
      </c>
      <c r="F112" s="172" t="str">
        <f t="shared" si="4"/>
        <v>2002-03</v>
      </c>
      <c r="G112" s="68"/>
      <c r="H112" s="167" t="s">
        <v>279</v>
      </c>
      <c r="I112" s="173">
        <v>89592.114709699614</v>
      </c>
      <c r="J112" s="168">
        <f>IFERROR(MIN('MP Calculations'!$E$30/I112,1),"-")</f>
        <v>0.31014580161562261</v>
      </c>
      <c r="K112" s="12"/>
      <c r="L112" s="159">
        <v>45.909337000000001</v>
      </c>
      <c r="M112" s="159" t="s">
        <v>408</v>
      </c>
      <c r="N112" s="159">
        <v>236</v>
      </c>
      <c r="O112" s="185">
        <f t="shared" si="5"/>
        <v>10834.603532000001</v>
      </c>
      <c r="P112" s="215">
        <f t="shared" si="6"/>
        <v>3360.3067976195962</v>
      </c>
      <c r="Q112" s="215" cm="1">
        <f t="array" ref="Q112">IF(P112="-",0,P112/(1+'General inputs'!$H$32)^IFERROR(INDEX('MP Calculations'!$C$40:$C$130,MATCH(F112,'MP Calculations'!$D$40:$D$130,0),0),-1))</f>
        <v>7651.2661599347748</v>
      </c>
    </row>
    <row r="113" spans="3:17" x14ac:dyDescent="0.25">
      <c r="C113" s="159"/>
      <c r="D113" s="165" t="s">
        <v>295</v>
      </c>
      <c r="E113" s="161">
        <v>37599</v>
      </c>
      <c r="F113" s="172" t="str">
        <f t="shared" si="4"/>
        <v>2002-03</v>
      </c>
      <c r="G113" s="68"/>
      <c r="H113" s="167" t="s">
        <v>279</v>
      </c>
      <c r="I113" s="173">
        <v>89592.114709699614</v>
      </c>
      <c r="J113" s="168">
        <f>IFERROR(MIN('MP Calculations'!$E$30/I113,1),"-")</f>
        <v>0.31014580161562261</v>
      </c>
      <c r="K113" s="12"/>
      <c r="L113" s="159">
        <v>4.9994379999999996</v>
      </c>
      <c r="M113" s="159" t="s">
        <v>408</v>
      </c>
      <c r="N113" s="159">
        <v>236</v>
      </c>
      <c r="O113" s="185">
        <f t="shared" si="5"/>
        <v>1179.8673679999999</v>
      </c>
      <c r="P113" s="215">
        <f t="shared" si="6"/>
        <v>365.93091064847476</v>
      </c>
      <c r="Q113" s="215" cm="1">
        <f t="array" ref="Q113">IF(P113="-",0,P113/(1+'General inputs'!$H$32)^IFERROR(INDEX('MP Calculations'!$C$40:$C$130,MATCH(F113,'MP Calculations'!$D$40:$D$130,0),0),-1))</f>
        <v>833.20808549450373</v>
      </c>
    </row>
    <row r="114" spans="3:17" x14ac:dyDescent="0.25">
      <c r="C114" s="159"/>
      <c r="D114" s="165" t="s">
        <v>300</v>
      </c>
      <c r="E114" s="161">
        <v>37623</v>
      </c>
      <c r="F114" s="172" t="str">
        <f t="shared" si="4"/>
        <v>2002-03</v>
      </c>
      <c r="G114" s="68"/>
      <c r="H114" s="167" t="s">
        <v>279</v>
      </c>
      <c r="I114" s="173">
        <v>89592.114709699614</v>
      </c>
      <c r="J114" s="168">
        <f>IFERROR(MIN('MP Calculations'!$E$30/I114,1),"-")</f>
        <v>0.31014580161562261</v>
      </c>
      <c r="K114" s="12"/>
      <c r="L114" s="159">
        <v>84.313629000000006</v>
      </c>
      <c r="M114" s="159" t="s">
        <v>408</v>
      </c>
      <c r="N114" s="159">
        <v>809</v>
      </c>
      <c r="O114" s="185">
        <f t="shared" si="5"/>
        <v>68209.725860999999</v>
      </c>
      <c r="P114" s="215">
        <f t="shared" si="6"/>
        <v>21154.960105141708</v>
      </c>
      <c r="Q114" s="215" cm="1">
        <f t="array" ref="Q114">IF(P114="-",0,P114/(1+'General inputs'!$H$32)^IFERROR(INDEX('MP Calculations'!$C$40:$C$130,MATCH(F114,'MP Calculations'!$D$40:$D$130,0),0),-1))</f>
        <v>48168.884603602964</v>
      </c>
    </row>
    <row r="115" spans="3:17" x14ac:dyDescent="0.25">
      <c r="C115" s="159"/>
      <c r="D115" s="165" t="s">
        <v>300</v>
      </c>
      <c r="E115" s="161">
        <v>37623</v>
      </c>
      <c r="F115" s="172" t="str">
        <f t="shared" si="4"/>
        <v>2002-03</v>
      </c>
      <c r="G115" s="68"/>
      <c r="H115" s="167" t="s">
        <v>279</v>
      </c>
      <c r="I115" s="173">
        <v>89592.114709699614</v>
      </c>
      <c r="J115" s="168">
        <f>IFERROR(MIN('MP Calculations'!$E$30/I115,1),"-")</f>
        <v>0.31014580161562261</v>
      </c>
      <c r="K115" s="12"/>
      <c r="L115" s="159">
        <v>53.943883</v>
      </c>
      <c r="M115" s="159" t="s">
        <v>408</v>
      </c>
      <c r="N115" s="159">
        <v>809</v>
      </c>
      <c r="O115" s="185">
        <f t="shared" si="5"/>
        <v>43640.601346999996</v>
      </c>
      <c r="P115" s="215">
        <f t="shared" si="6"/>
        <v>13534.949287753134</v>
      </c>
      <c r="Q115" s="215" cm="1">
        <f t="array" ref="Q115">IF(P115="-",0,P115/(1+'General inputs'!$H$32)^IFERROR(INDEX('MP Calculations'!$C$40:$C$130,MATCH(F115,'MP Calculations'!$D$40:$D$130,0),0),-1))</f>
        <v>30818.46560414639</v>
      </c>
    </row>
    <row r="116" spans="3:17" x14ac:dyDescent="0.25">
      <c r="C116" s="159"/>
      <c r="D116" s="165" t="s">
        <v>300</v>
      </c>
      <c r="E116" s="161">
        <v>37623</v>
      </c>
      <c r="F116" s="172" t="str">
        <f t="shared" si="4"/>
        <v>2002-03</v>
      </c>
      <c r="G116" s="68"/>
      <c r="H116" s="167" t="s">
        <v>279</v>
      </c>
      <c r="I116" s="173">
        <v>89592.114709699614</v>
      </c>
      <c r="J116" s="168">
        <f>IFERROR(MIN('MP Calculations'!$E$30/I116,1),"-")</f>
        <v>0.31014580161562261</v>
      </c>
      <c r="K116" s="12"/>
      <c r="L116" s="159">
        <v>79.186893999999995</v>
      </c>
      <c r="M116" s="159" t="s">
        <v>408</v>
      </c>
      <c r="N116" s="159">
        <v>809</v>
      </c>
      <c r="O116" s="185">
        <f t="shared" si="5"/>
        <v>64062.197245999996</v>
      </c>
      <c r="P116" s="215">
        <f t="shared" si="6"/>
        <v>19868.621518118798</v>
      </c>
      <c r="Q116" s="215" cm="1">
        <f t="array" ref="Q116">IF(P116="-",0,P116/(1+'General inputs'!$H$32)^IFERROR(INDEX('MP Calculations'!$C$40:$C$130,MATCH(F116,'MP Calculations'!$D$40:$D$130,0),0),-1))</f>
        <v>45239.949987252236</v>
      </c>
    </row>
    <row r="117" spans="3:17" x14ac:dyDescent="0.25">
      <c r="C117" s="159"/>
      <c r="D117" s="165" t="s">
        <v>300</v>
      </c>
      <c r="E117" s="161">
        <v>37623</v>
      </c>
      <c r="F117" s="172" t="str">
        <f t="shared" si="4"/>
        <v>2002-03</v>
      </c>
      <c r="G117" s="68"/>
      <c r="H117" s="167" t="s">
        <v>279</v>
      </c>
      <c r="I117" s="173">
        <v>89592.114709699614</v>
      </c>
      <c r="J117" s="168">
        <f>IFERROR(MIN('MP Calculations'!$E$30/I117,1),"-")</f>
        <v>0.31014580161562261</v>
      </c>
      <c r="K117" s="12"/>
      <c r="L117" s="159">
        <v>76.745555999999993</v>
      </c>
      <c r="M117" s="159" t="s">
        <v>408</v>
      </c>
      <c r="N117" s="159">
        <v>809</v>
      </c>
      <c r="O117" s="185">
        <f t="shared" si="5"/>
        <v>62087.154803999998</v>
      </c>
      <c r="P117" s="215">
        <f t="shared" si="6"/>
        <v>19256.070396719835</v>
      </c>
      <c r="Q117" s="215" cm="1">
        <f t="array" ref="Q117">IF(P117="-",0,P117/(1+'General inputs'!$H$32)^IFERROR(INDEX('MP Calculations'!$C$40:$C$130,MATCH(F117,'MP Calculations'!$D$40:$D$130,0),0),-1))</f>
        <v>43845.198868184758</v>
      </c>
    </row>
    <row r="118" spans="3:17" x14ac:dyDescent="0.25">
      <c r="C118" s="159"/>
      <c r="D118" s="165" t="s">
        <v>300</v>
      </c>
      <c r="E118" s="161">
        <v>37623</v>
      </c>
      <c r="F118" s="172" t="str">
        <f t="shared" si="4"/>
        <v>2002-03</v>
      </c>
      <c r="G118" s="68"/>
      <c r="H118" s="167" t="s">
        <v>279</v>
      </c>
      <c r="I118" s="173">
        <v>89592.114709699614</v>
      </c>
      <c r="J118" s="168">
        <f>IFERROR(MIN('MP Calculations'!$E$30/I118,1),"-")</f>
        <v>0.31014580161562261</v>
      </c>
      <c r="K118" s="12"/>
      <c r="L118" s="159">
        <v>21.481529999999999</v>
      </c>
      <c r="M118" s="159" t="s">
        <v>408</v>
      </c>
      <c r="N118" s="159">
        <v>809</v>
      </c>
      <c r="O118" s="185">
        <f t="shared" si="5"/>
        <v>17378.557769999999</v>
      </c>
      <c r="P118" s="215">
        <f t="shared" si="6"/>
        <v>5389.8867305000567</v>
      </c>
      <c r="Q118" s="215" cm="1">
        <f t="array" ref="Q118">IF(P118="-",0,P118/(1+'General inputs'!$H$32)^IFERROR(INDEX('MP Calculations'!$C$40:$C$130,MATCH(F118,'MP Calculations'!$D$40:$D$130,0),0),-1))</f>
        <v>12272.527608541617</v>
      </c>
    </row>
    <row r="119" spans="3:17" x14ac:dyDescent="0.25">
      <c r="C119" s="159"/>
      <c r="D119" s="165" t="s">
        <v>300</v>
      </c>
      <c r="E119" s="161">
        <v>37623</v>
      </c>
      <c r="F119" s="172" t="str">
        <f t="shared" si="4"/>
        <v>2002-03</v>
      </c>
      <c r="G119" s="68"/>
      <c r="H119" s="167" t="s">
        <v>279</v>
      </c>
      <c r="I119" s="173">
        <v>89592.114709699614</v>
      </c>
      <c r="J119" s="168">
        <f>IFERROR(MIN('MP Calculations'!$E$30/I119,1),"-")</f>
        <v>0.31014580161562261</v>
      </c>
      <c r="K119" s="12"/>
      <c r="L119" s="159">
        <v>70.720181999999994</v>
      </c>
      <c r="M119" s="159" t="s">
        <v>408</v>
      </c>
      <c r="N119" s="159">
        <v>809</v>
      </c>
      <c r="O119" s="185">
        <f t="shared" si="5"/>
        <v>57212.627237999994</v>
      </c>
      <c r="P119" s="215">
        <f t="shared" si="6"/>
        <v>17744.256137265311</v>
      </c>
      <c r="Q119" s="215" cm="1">
        <f t="array" ref="Q119">IF(P119="-",0,P119/(1+'General inputs'!$H$32)^IFERROR(INDEX('MP Calculations'!$C$40:$C$130,MATCH(F119,'MP Calculations'!$D$40:$D$130,0),0),-1))</f>
        <v>40402.866372930039</v>
      </c>
    </row>
    <row r="120" spans="3:17" x14ac:dyDescent="0.25">
      <c r="C120" s="159"/>
      <c r="D120" s="165" t="s">
        <v>437</v>
      </c>
      <c r="E120" s="161">
        <v>37623</v>
      </c>
      <c r="F120" s="172" t="str">
        <f t="shared" si="4"/>
        <v>2002-03</v>
      </c>
      <c r="G120" s="68"/>
      <c r="H120" s="167" t="s">
        <v>279</v>
      </c>
      <c r="I120" s="173">
        <v>89592.114709699614</v>
      </c>
      <c r="J120" s="168">
        <f>IFERROR(MIN('MP Calculations'!$E$30/I120,1),"-")</f>
        <v>0.31014580161562261</v>
      </c>
      <c r="K120" s="12"/>
      <c r="L120" s="159">
        <v>10.093696</v>
      </c>
      <c r="M120" s="159" t="s">
        <v>408</v>
      </c>
      <c r="N120" s="159">
        <v>622</v>
      </c>
      <c r="O120" s="185">
        <f t="shared" si="5"/>
        <v>6278.2789119999998</v>
      </c>
      <c r="P120" s="215">
        <f t="shared" si="6"/>
        <v>1947.181845928699</v>
      </c>
      <c r="Q120" s="215" cm="1">
        <f t="array" ref="Q120">IF(P120="-",0,P120/(1+'General inputs'!$H$32)^IFERROR(INDEX('MP Calculations'!$C$40:$C$130,MATCH(F120,'MP Calculations'!$D$40:$D$130,0),0),-1))</f>
        <v>4433.6447420656496</v>
      </c>
    </row>
    <row r="121" spans="3:17" x14ac:dyDescent="0.25">
      <c r="C121" s="159"/>
      <c r="D121" s="165" t="s">
        <v>300</v>
      </c>
      <c r="E121" s="161">
        <v>37623</v>
      </c>
      <c r="F121" s="172" t="str">
        <f t="shared" si="4"/>
        <v>2002-03</v>
      </c>
      <c r="G121" s="68"/>
      <c r="H121" s="167" t="s">
        <v>279</v>
      </c>
      <c r="I121" s="173">
        <v>89592.114709699614</v>
      </c>
      <c r="J121" s="168">
        <f>IFERROR(MIN('MP Calculations'!$E$30/I121,1),"-")</f>
        <v>0.31014580161562261</v>
      </c>
      <c r="K121" s="12"/>
      <c r="L121" s="159">
        <v>65.088048000000001</v>
      </c>
      <c r="M121" s="159" t="s">
        <v>408</v>
      </c>
      <c r="N121" s="159">
        <v>809</v>
      </c>
      <c r="O121" s="185">
        <f t="shared" si="5"/>
        <v>52656.230832000001</v>
      </c>
      <c r="P121" s="215">
        <f t="shared" si="6"/>
        <v>16331.108921447903</v>
      </c>
      <c r="Q121" s="215" cm="1">
        <f t="array" ref="Q121">IF(P121="-",0,P121/(1+'General inputs'!$H$32)^IFERROR(INDEX('MP Calculations'!$C$40:$C$130,MATCH(F121,'MP Calculations'!$D$40:$D$130,0),0),-1))</f>
        <v>37185.194260654716</v>
      </c>
    </row>
    <row r="122" spans="3:17" x14ac:dyDescent="0.25">
      <c r="C122" s="159"/>
      <c r="D122" s="165" t="s">
        <v>283</v>
      </c>
      <c r="E122" s="161">
        <v>37680</v>
      </c>
      <c r="F122" s="172" t="str">
        <f t="shared" si="4"/>
        <v>2002-03</v>
      </c>
      <c r="G122" s="68"/>
      <c r="H122" s="167" t="s">
        <v>279</v>
      </c>
      <c r="I122" s="173">
        <v>89592.114709699614</v>
      </c>
      <c r="J122" s="168">
        <f>IFERROR(MIN('MP Calculations'!$E$30/I122,1),"-")</f>
        <v>0.31014580161562261</v>
      </c>
      <c r="K122" s="12"/>
      <c r="L122" s="159">
        <v>5.501309</v>
      </c>
      <c r="M122" s="159" t="s">
        <v>408</v>
      </c>
      <c r="N122" s="159">
        <v>622</v>
      </c>
      <c r="O122" s="185">
        <f t="shared" si="5"/>
        <v>3421.814198</v>
      </c>
      <c r="P122" s="215">
        <f t="shared" si="6"/>
        <v>1061.2613074184287</v>
      </c>
      <c r="Q122" s="215" cm="1">
        <f t="array" ref="Q122">IF(P122="-",0,P122/(1+'General inputs'!$H$32)^IFERROR(INDEX('MP Calculations'!$C$40:$C$130,MATCH(F122,'MP Calculations'!$D$40:$D$130,0),0),-1))</f>
        <v>2416.4438598436523</v>
      </c>
    </row>
    <row r="123" spans="3:17" x14ac:dyDescent="0.25">
      <c r="C123" s="159"/>
      <c r="D123" s="165" t="s">
        <v>466</v>
      </c>
      <c r="E123" s="161">
        <v>37705</v>
      </c>
      <c r="F123" s="172" t="str">
        <f t="shared" si="4"/>
        <v>2002-03</v>
      </c>
      <c r="G123" s="68"/>
      <c r="H123" s="167" t="s">
        <v>279</v>
      </c>
      <c r="I123" s="173">
        <v>89592.114709699614</v>
      </c>
      <c r="J123" s="168">
        <f>IFERROR(MIN('MP Calculations'!$E$30/I123,1),"-")</f>
        <v>0.31014580161562261</v>
      </c>
      <c r="K123" s="12"/>
      <c r="L123" s="159">
        <v>1</v>
      </c>
      <c r="M123" s="159" t="s">
        <v>409</v>
      </c>
      <c r="N123" s="159">
        <v>4253.6499999999996</v>
      </c>
      <c r="O123" s="185">
        <f t="shared" si="5"/>
        <v>4253.6499999999996</v>
      </c>
      <c r="P123" s="215">
        <f t="shared" si="6"/>
        <v>1319.251689042293</v>
      </c>
      <c r="Q123" s="215" cm="1">
        <f t="array" ref="Q123">IF(P123="-",0,P123/(1+'General inputs'!$H$32)^IFERROR(INDEX('MP Calculations'!$C$40:$C$130,MATCH(F123,'MP Calculations'!$D$40:$D$130,0),0),-1))</f>
        <v>3003.8762567621889</v>
      </c>
    </row>
    <row r="124" spans="3:17" x14ac:dyDescent="0.25">
      <c r="C124" s="159"/>
      <c r="D124" s="165" t="s">
        <v>284</v>
      </c>
      <c r="E124" s="161">
        <v>37708</v>
      </c>
      <c r="F124" s="172" t="str">
        <f t="shared" si="4"/>
        <v>2002-03</v>
      </c>
      <c r="G124" s="68"/>
      <c r="H124" s="167" t="s">
        <v>279</v>
      </c>
      <c r="I124" s="173">
        <v>89592.114709699614</v>
      </c>
      <c r="J124" s="168">
        <f>IFERROR(MIN('MP Calculations'!$E$30/I124,1),"-")</f>
        <v>0.31014580161562261</v>
      </c>
      <c r="K124" s="12"/>
      <c r="L124" s="159">
        <v>4.9983969999999998</v>
      </c>
      <c r="M124" s="159" t="s">
        <v>408</v>
      </c>
      <c r="N124" s="159">
        <v>405</v>
      </c>
      <c r="O124" s="185">
        <f t="shared" si="5"/>
        <v>2024.3507849999999</v>
      </c>
      <c r="P124" s="215">
        <f t="shared" si="6"/>
        <v>627.8438969650399</v>
      </c>
      <c r="Q124" s="215" cm="1">
        <f t="array" ref="Q124">IF(P124="-",0,P124/(1+'General inputs'!$H$32)^IFERROR(INDEX('MP Calculations'!$C$40:$C$130,MATCH(F124,'MP Calculations'!$D$40:$D$130,0),0),-1))</f>
        <v>1429.5720753751245</v>
      </c>
    </row>
    <row r="125" spans="3:17" x14ac:dyDescent="0.25">
      <c r="C125" s="159"/>
      <c r="D125" s="165" t="s">
        <v>284</v>
      </c>
      <c r="E125" s="161">
        <v>37818</v>
      </c>
      <c r="F125" s="172" t="str">
        <f t="shared" si="4"/>
        <v>2003-04</v>
      </c>
      <c r="G125" s="68"/>
      <c r="H125" s="167" t="s">
        <v>279</v>
      </c>
      <c r="I125" s="173">
        <v>89592.114709699614</v>
      </c>
      <c r="J125" s="168">
        <f>IFERROR(MIN('MP Calculations'!$E$30/I125,1),"-")</f>
        <v>0.31014580161562261</v>
      </c>
      <c r="K125" s="12"/>
      <c r="L125" s="159">
        <v>2.0005380000000001</v>
      </c>
      <c r="M125" s="159" t="s">
        <v>408</v>
      </c>
      <c r="N125" s="159">
        <v>405</v>
      </c>
      <c r="O125" s="185">
        <f t="shared" si="5"/>
        <v>810.21789000000001</v>
      </c>
      <c r="P125" s="215">
        <f t="shared" si="6"/>
        <v>251.28567697736835</v>
      </c>
      <c r="Q125" s="215" cm="1">
        <f t="array" ref="Q125">IF(P125="-",0,P125/(1+'General inputs'!$H$32)^IFERROR(INDEX('MP Calculations'!$C$40:$C$130,MATCH(F125,'MP Calculations'!$D$40:$D$130,0),0),-1))</f>
        <v>549.10373181703483</v>
      </c>
    </row>
    <row r="126" spans="3:17" x14ac:dyDescent="0.25">
      <c r="C126" s="159"/>
      <c r="D126" s="165" t="s">
        <v>467</v>
      </c>
      <c r="E126" s="161">
        <v>37833</v>
      </c>
      <c r="F126" s="172" t="str">
        <f t="shared" si="4"/>
        <v>2003-04</v>
      </c>
      <c r="G126" s="68"/>
      <c r="H126" s="167" t="s">
        <v>279</v>
      </c>
      <c r="I126" s="173">
        <v>89592.114709699614</v>
      </c>
      <c r="J126" s="168">
        <f>IFERROR(MIN('MP Calculations'!$E$30/I126,1),"-")</f>
        <v>0.31014580161562261</v>
      </c>
      <c r="K126" s="12"/>
      <c r="L126" s="159">
        <v>1</v>
      </c>
      <c r="M126" s="159" t="s">
        <v>409</v>
      </c>
      <c r="N126" s="159">
        <v>157902.56</v>
      </c>
      <c r="O126" s="185">
        <f t="shared" si="5"/>
        <v>157902.56</v>
      </c>
      <c r="P126" s="215">
        <f t="shared" si="6"/>
        <v>48972.816048358945</v>
      </c>
      <c r="Q126" s="215" cm="1">
        <f t="array" ref="Q126">IF(P126="-",0,P126/(1+'General inputs'!$H$32)^IFERROR(INDEX('MP Calculations'!$C$40:$C$130,MATCH(F126,'MP Calculations'!$D$40:$D$130,0),0),-1))</f>
        <v>107014.28100959762</v>
      </c>
    </row>
    <row r="127" spans="3:17" x14ac:dyDescent="0.25">
      <c r="C127" s="159"/>
      <c r="D127" s="165" t="s">
        <v>284</v>
      </c>
      <c r="E127" s="161">
        <v>37853</v>
      </c>
      <c r="F127" s="172" t="str">
        <f t="shared" si="4"/>
        <v>2003-04</v>
      </c>
      <c r="G127" s="68"/>
      <c r="H127" s="167" t="s">
        <v>279</v>
      </c>
      <c r="I127" s="173">
        <v>89592.114709699614</v>
      </c>
      <c r="J127" s="168">
        <f>IFERROR(MIN('MP Calculations'!$E$30/I127,1),"-")</f>
        <v>0.31014580161562261</v>
      </c>
      <c r="K127" s="12"/>
      <c r="L127" s="159">
        <v>4.4990430000000003</v>
      </c>
      <c r="M127" s="159" t="s">
        <v>408</v>
      </c>
      <c r="N127" s="159">
        <v>405</v>
      </c>
      <c r="O127" s="185">
        <f t="shared" si="5"/>
        <v>1822.1124150000001</v>
      </c>
      <c r="P127" s="215">
        <f t="shared" si="6"/>
        <v>565.12051558395308</v>
      </c>
      <c r="Q127" s="215" cm="1">
        <f t="array" ref="Q127">IF(P127="-",0,P127/(1+'General inputs'!$H$32)^IFERROR(INDEX('MP Calculations'!$C$40:$C$130,MATCH(F127,'MP Calculations'!$D$40:$D$130,0),0),-1))</f>
        <v>1234.8884654554465</v>
      </c>
    </row>
    <row r="128" spans="3:17" x14ac:dyDescent="0.25">
      <c r="C128" s="159"/>
      <c r="D128" s="165" t="s">
        <v>283</v>
      </c>
      <c r="E128" s="161">
        <v>37952</v>
      </c>
      <c r="F128" s="172" t="str">
        <f t="shared" si="4"/>
        <v>2003-04</v>
      </c>
      <c r="G128" s="68"/>
      <c r="H128" s="167" t="s">
        <v>279</v>
      </c>
      <c r="I128" s="173">
        <v>89592.114709699614</v>
      </c>
      <c r="J128" s="168">
        <f>IFERROR(MIN('MP Calculations'!$E$30/I128,1),"-")</f>
        <v>0.31014580161562261</v>
      </c>
      <c r="K128" s="12"/>
      <c r="L128" s="159">
        <v>6.5252780000000001</v>
      </c>
      <c r="M128" s="159" t="s">
        <v>408</v>
      </c>
      <c r="N128" s="159">
        <v>622</v>
      </c>
      <c r="O128" s="185">
        <f>IF(N128="","-",L128*N128)</f>
        <v>4058.7229160000002</v>
      </c>
      <c r="P128" s="215">
        <f t="shared" si="6"/>
        <v>1258.7958723185172</v>
      </c>
      <c r="Q128" s="215" cm="1">
        <f t="array" ref="Q128">IF(P128="-",0,P128/(1+'General inputs'!$H$32)^IFERROR(INDEX('MP Calculations'!$C$40:$C$130,MATCH(F128,'MP Calculations'!$D$40:$D$130,0),0),-1))</f>
        <v>2750.6920386402694</v>
      </c>
    </row>
    <row r="129" spans="3:17" x14ac:dyDescent="0.25">
      <c r="C129" s="159"/>
      <c r="D129" s="165" t="s">
        <v>283</v>
      </c>
      <c r="E129" s="161">
        <v>37952</v>
      </c>
      <c r="F129" s="172" t="str">
        <f t="shared" si="4"/>
        <v>2003-04</v>
      </c>
      <c r="G129" s="68"/>
      <c r="H129" s="167" t="s">
        <v>279</v>
      </c>
      <c r="I129" s="173">
        <v>89592.114709699614</v>
      </c>
      <c r="J129" s="168">
        <f>IFERROR(MIN('MP Calculations'!$E$30/I129,1),"-")</f>
        <v>0.31014580161562261</v>
      </c>
      <c r="K129" s="12"/>
      <c r="L129" s="159">
        <v>3.8991549999999999</v>
      </c>
      <c r="M129" s="159" t="s">
        <v>408</v>
      </c>
      <c r="N129" s="159">
        <v>622</v>
      </c>
      <c r="O129" s="185">
        <f t="shared" ref="O129:O192" si="7">IF(N129="","-",L129*N129)</f>
        <v>2425.27441</v>
      </c>
      <c r="P129" s="215">
        <f t="shared" si="6"/>
        <v>752.1886760273062</v>
      </c>
      <c r="Q129" s="215" cm="1">
        <f t="array" ref="Q129">IF(P129="-",0,P129/(1+'General inputs'!$H$32)^IFERROR(INDEX('MP Calculations'!$C$40:$C$130,MATCH(F129,'MP Calculations'!$D$40:$D$130,0),0),-1))</f>
        <v>1643.665544352961</v>
      </c>
    </row>
    <row r="130" spans="3:17" x14ac:dyDescent="0.25">
      <c r="C130" s="159"/>
      <c r="D130" s="165" t="s">
        <v>283</v>
      </c>
      <c r="E130" s="161">
        <v>37952</v>
      </c>
      <c r="F130" s="172" t="str">
        <f t="shared" si="4"/>
        <v>2003-04</v>
      </c>
      <c r="G130" s="68"/>
      <c r="H130" s="167" t="s">
        <v>279</v>
      </c>
      <c r="I130" s="173">
        <v>89592.114709699614</v>
      </c>
      <c r="J130" s="168">
        <f>IFERROR(MIN('MP Calculations'!$E$30/I130,1),"-")</f>
        <v>0.31014580161562261</v>
      </c>
      <c r="K130" s="12"/>
      <c r="L130" s="159">
        <v>13.721678000000001</v>
      </c>
      <c r="M130" s="159" t="s">
        <v>408</v>
      </c>
      <c r="N130" s="159">
        <v>622</v>
      </c>
      <c r="O130" s="185">
        <f t="shared" si="7"/>
        <v>8534.8837160000003</v>
      </c>
      <c r="P130" s="215">
        <f t="shared" si="6"/>
        <v>2647.058351794944</v>
      </c>
      <c r="Q130" s="215" cm="1">
        <f t="array" ref="Q130">IF(P130="-",0,P130/(1+'General inputs'!$H$32)^IFERROR(INDEX('MP Calculations'!$C$40:$C$130,MATCH(F130,'MP Calculations'!$D$40:$D$130,0),0),-1))</f>
        <v>5784.2915553000712</v>
      </c>
    </row>
    <row r="131" spans="3:17" x14ac:dyDescent="0.25">
      <c r="C131" s="159"/>
      <c r="D131" s="165" t="s">
        <v>283</v>
      </c>
      <c r="E131" s="161">
        <v>37952</v>
      </c>
      <c r="F131" s="172" t="str">
        <f t="shared" si="4"/>
        <v>2003-04</v>
      </c>
      <c r="G131" s="68"/>
      <c r="H131" s="167" t="s">
        <v>279</v>
      </c>
      <c r="I131" s="173">
        <v>89592.114709699614</v>
      </c>
      <c r="J131" s="168">
        <f>IFERROR(MIN('MP Calculations'!$E$30/I131,1),"-")</f>
        <v>0.31014580161562261</v>
      </c>
      <c r="K131" s="12"/>
      <c r="L131" s="159">
        <v>126.787441</v>
      </c>
      <c r="M131" s="159" t="s">
        <v>408</v>
      </c>
      <c r="N131" s="159">
        <v>622</v>
      </c>
      <c r="O131" s="185">
        <f t="shared" si="7"/>
        <v>78861.788302000001</v>
      </c>
      <c r="P131" s="215">
        <f t="shared" si="6"/>
        <v>24458.65254976532</v>
      </c>
      <c r="Q131" s="215" cm="1">
        <f t="array" ref="Q131">IF(P131="-",0,P131/(1+'General inputs'!$H$32)^IFERROR(INDEX('MP Calculations'!$C$40:$C$130,MATCH(F131,'MP Calculations'!$D$40:$D$130,0),0),-1))</f>
        <v>53446.489874955965</v>
      </c>
    </row>
    <row r="132" spans="3:17" x14ac:dyDescent="0.25">
      <c r="C132" s="159"/>
      <c r="D132" s="165" t="s">
        <v>283</v>
      </c>
      <c r="E132" s="161">
        <v>37952</v>
      </c>
      <c r="F132" s="172" t="str">
        <f t="shared" si="4"/>
        <v>2003-04</v>
      </c>
      <c r="G132" s="68"/>
      <c r="H132" s="167" t="s">
        <v>279</v>
      </c>
      <c r="I132" s="173">
        <v>89592.114709699614</v>
      </c>
      <c r="J132" s="168">
        <f>IFERROR(MIN('MP Calculations'!$E$30/I132,1),"-")</f>
        <v>0.31014580161562261</v>
      </c>
      <c r="K132" s="12"/>
      <c r="L132" s="159">
        <v>18.387834000000002</v>
      </c>
      <c r="M132" s="159" t="s">
        <v>408</v>
      </c>
      <c r="N132" s="159">
        <v>622</v>
      </c>
      <c r="O132" s="185">
        <f t="shared" si="7"/>
        <v>11437.232748</v>
      </c>
      <c r="P132" s="215">
        <f t="shared" si="6"/>
        <v>3547.2097188929101</v>
      </c>
      <c r="Q132" s="215" cm="1">
        <f t="array" ref="Q132">IF(P132="-",0,P132/(1+'General inputs'!$H$32)^IFERROR(INDEX('MP Calculations'!$C$40:$C$130,MATCH(F132,'MP Calculations'!$D$40:$D$130,0),0),-1))</f>
        <v>7751.2817985132378</v>
      </c>
    </row>
    <row r="133" spans="3:17" x14ac:dyDescent="0.25">
      <c r="C133" s="159"/>
      <c r="D133" s="165" t="s">
        <v>283</v>
      </c>
      <c r="E133" s="161">
        <v>37952</v>
      </c>
      <c r="F133" s="172" t="str">
        <f t="shared" si="4"/>
        <v>2003-04</v>
      </c>
      <c r="G133" s="68"/>
      <c r="H133" s="167" t="s">
        <v>279</v>
      </c>
      <c r="I133" s="173">
        <v>89592.114709699614</v>
      </c>
      <c r="J133" s="168">
        <f>IFERROR(MIN('MP Calculations'!$E$30/I133,1),"-")</f>
        <v>0.31014580161562261</v>
      </c>
      <c r="K133" s="12"/>
      <c r="L133" s="159">
        <v>1.473284</v>
      </c>
      <c r="M133" s="159" t="s">
        <v>408</v>
      </c>
      <c r="N133" s="159">
        <v>622</v>
      </c>
      <c r="O133" s="185">
        <f t="shared" si="7"/>
        <v>916.38264800000002</v>
      </c>
      <c r="P133" s="215">
        <f t="shared" si="6"/>
        <v>284.21223095060691</v>
      </c>
      <c r="Q133" s="215" cm="1">
        <f t="array" ref="Q133">IF(P133="-",0,P133/(1+'General inputs'!$H$32)^IFERROR(INDEX('MP Calculations'!$C$40:$C$130,MATCH(F133,'MP Calculations'!$D$40:$D$130,0),0),-1))</f>
        <v>621.0540868076564</v>
      </c>
    </row>
    <row r="134" spans="3:17" x14ac:dyDescent="0.25">
      <c r="C134" s="159"/>
      <c r="D134" s="165" t="s">
        <v>283</v>
      </c>
      <c r="E134" s="161">
        <v>37952</v>
      </c>
      <c r="F134" s="172" t="str">
        <f t="shared" si="4"/>
        <v>2003-04</v>
      </c>
      <c r="G134" s="68"/>
      <c r="H134" s="167" t="s">
        <v>279</v>
      </c>
      <c r="I134" s="173">
        <v>89592.114709699614</v>
      </c>
      <c r="J134" s="168">
        <f>IFERROR(MIN('MP Calculations'!$E$30/I134,1),"-")</f>
        <v>0.31014580161562261</v>
      </c>
      <c r="K134" s="12"/>
      <c r="L134" s="159">
        <v>2.7637670000000001</v>
      </c>
      <c r="M134" s="159" t="s">
        <v>408</v>
      </c>
      <c r="N134" s="159">
        <v>622</v>
      </c>
      <c r="O134" s="185">
        <f t="shared" si="7"/>
        <v>1719.0630740000001</v>
      </c>
      <c r="P134" s="215">
        <f t="shared" si="6"/>
        <v>533.16019511354637</v>
      </c>
      <c r="Q134" s="215" cm="1">
        <f t="array" ref="Q134">IF(P134="-",0,P134/(1+'General inputs'!$H$32)^IFERROR(INDEX('MP Calculations'!$C$40:$C$130,MATCH(F134,'MP Calculations'!$D$40:$D$130,0),0),-1))</f>
        <v>1165.0495018843185</v>
      </c>
    </row>
    <row r="135" spans="3:17" x14ac:dyDescent="0.25">
      <c r="C135" s="159"/>
      <c r="D135" s="165" t="s">
        <v>468</v>
      </c>
      <c r="E135" s="161">
        <v>38084</v>
      </c>
      <c r="F135" s="172" t="str">
        <f t="shared" si="4"/>
        <v>2003-04</v>
      </c>
      <c r="G135" s="68"/>
      <c r="H135" s="167" t="s">
        <v>279</v>
      </c>
      <c r="I135" s="173">
        <v>89592.114709699614</v>
      </c>
      <c r="J135" s="168">
        <f>IFERROR(MIN('MP Calculations'!$E$30/I135,1),"-")</f>
        <v>0.31014580161562261</v>
      </c>
      <c r="K135" s="12"/>
      <c r="L135" s="159">
        <v>1</v>
      </c>
      <c r="M135" s="159" t="s">
        <v>409</v>
      </c>
      <c r="N135" s="159">
        <v>5700.73</v>
      </c>
      <c r="O135" s="185">
        <f t="shared" si="7"/>
        <v>5700.73</v>
      </c>
      <c r="P135" s="215">
        <f t="shared" si="6"/>
        <v>1768.0574756442281</v>
      </c>
      <c r="Q135" s="215" cm="1">
        <f t="array" ref="Q135">IF(P135="-",0,P135/(1+'General inputs'!$H$32)^IFERROR(INDEX('MP Calculations'!$C$40:$C$130,MATCH(F135,'MP Calculations'!$D$40:$D$130,0),0),-1))</f>
        <v>3863.5188826567687</v>
      </c>
    </row>
    <row r="136" spans="3:17" x14ac:dyDescent="0.25">
      <c r="C136" s="159"/>
      <c r="D136" s="165" t="s">
        <v>469</v>
      </c>
      <c r="E136" s="161">
        <v>38106</v>
      </c>
      <c r="F136" s="172" t="str">
        <f t="shared" si="4"/>
        <v>2003-04</v>
      </c>
      <c r="G136" s="68"/>
      <c r="H136" s="167" t="s">
        <v>279</v>
      </c>
      <c r="I136" s="173">
        <v>89592.114709699614</v>
      </c>
      <c r="J136" s="168">
        <f>IFERROR(MIN('MP Calculations'!$E$30/I136,1),"-")</f>
        <v>0.31014580161562261</v>
      </c>
      <c r="K136" s="12"/>
      <c r="L136" s="159">
        <v>1</v>
      </c>
      <c r="M136" s="159" t="s">
        <v>409</v>
      </c>
      <c r="N136" s="159">
        <v>7010.42</v>
      </c>
      <c r="O136" s="185">
        <f t="shared" si="7"/>
        <v>7010.42</v>
      </c>
      <c r="P136" s="215">
        <f t="shared" si="6"/>
        <v>2174.252330562193</v>
      </c>
      <c r="Q136" s="215" cm="1">
        <f t="array" ref="Q136">IF(P136="-",0,P136/(1+'General inputs'!$H$32)^IFERROR(INDEX('MP Calculations'!$C$40:$C$130,MATCH(F136,'MP Calculations'!$D$40:$D$130,0),0),-1))</f>
        <v>4751.1266180567518</v>
      </c>
    </row>
    <row r="137" spans="3:17" x14ac:dyDescent="0.25">
      <c r="C137" s="159"/>
      <c r="D137" s="165" t="s">
        <v>300</v>
      </c>
      <c r="E137" s="161">
        <v>38127</v>
      </c>
      <c r="F137" s="172" t="str">
        <f t="shared" si="4"/>
        <v>2003-04</v>
      </c>
      <c r="G137" s="68"/>
      <c r="H137" s="167" t="s">
        <v>279</v>
      </c>
      <c r="I137" s="173">
        <v>89592.114709699614</v>
      </c>
      <c r="J137" s="168">
        <f>IFERROR(MIN('MP Calculations'!$E$30/I137,1),"-")</f>
        <v>0.31014580161562261</v>
      </c>
      <c r="K137" s="12"/>
      <c r="L137" s="159">
        <v>48.013548999999998</v>
      </c>
      <c r="M137" s="159" t="s">
        <v>408</v>
      </c>
      <c r="N137" s="159">
        <v>809</v>
      </c>
      <c r="O137" s="185">
        <f t="shared" si="7"/>
        <v>38842.961141</v>
      </c>
      <c r="P137" s="215">
        <f t="shared" si="6"/>
        <v>12046.981320199924</v>
      </c>
      <c r="Q137" s="215" cm="1">
        <f t="array" ref="Q137">IF(P137="-",0,P137/(1+'General inputs'!$H$32)^IFERROR(INDEX('MP Calculations'!$C$40:$C$130,MATCH(F137,'MP Calculations'!$D$40:$D$130,0),0),-1))</f>
        <v>26324.788900115709</v>
      </c>
    </row>
    <row r="138" spans="3:17" x14ac:dyDescent="0.25">
      <c r="C138" s="159"/>
      <c r="D138" s="165" t="s">
        <v>453</v>
      </c>
      <c r="E138" s="161">
        <v>38127</v>
      </c>
      <c r="F138" s="172" t="str">
        <f t="shared" si="4"/>
        <v>2003-04</v>
      </c>
      <c r="G138" s="68"/>
      <c r="H138" s="167" t="s">
        <v>279</v>
      </c>
      <c r="I138" s="173">
        <v>89592.114709699614</v>
      </c>
      <c r="J138" s="168">
        <f>IFERROR(MIN('MP Calculations'!$E$30/I138,1),"-")</f>
        <v>0.31014580161562261</v>
      </c>
      <c r="K138" s="12"/>
      <c r="L138" s="159">
        <v>26.356038000000002</v>
      </c>
      <c r="M138" s="159" t="s">
        <v>408</v>
      </c>
      <c r="N138" s="159">
        <v>622</v>
      </c>
      <c r="O138" s="185">
        <f t="shared" si="7"/>
        <v>16393.455636000002</v>
      </c>
      <c r="P138" s="215">
        <f t="shared" si="6"/>
        <v>5084.3614394773667</v>
      </c>
      <c r="Q138" s="215" cm="1">
        <f t="array" ref="Q138">IF(P138="-",0,P138/(1+'General inputs'!$H$32)^IFERROR(INDEX('MP Calculations'!$C$40:$C$130,MATCH(F138,'MP Calculations'!$D$40:$D$130,0),0),-1))</f>
        <v>11110.230690048826</v>
      </c>
    </row>
    <row r="139" spans="3:17" x14ac:dyDescent="0.25">
      <c r="C139" s="159"/>
      <c r="D139" s="165" t="s">
        <v>453</v>
      </c>
      <c r="E139" s="161">
        <v>38127</v>
      </c>
      <c r="F139" s="172" t="str">
        <f t="shared" si="4"/>
        <v>2003-04</v>
      </c>
      <c r="G139" s="68"/>
      <c r="H139" s="167" t="s">
        <v>279</v>
      </c>
      <c r="I139" s="173">
        <v>89592.114709699614</v>
      </c>
      <c r="J139" s="168">
        <f>IFERROR(MIN('MP Calculations'!$E$30/I139,1),"-")</f>
        <v>0.31014580161562261</v>
      </c>
      <c r="K139" s="12"/>
      <c r="L139" s="159">
        <v>14.318642000000001</v>
      </c>
      <c r="M139" s="159" t="s">
        <v>408</v>
      </c>
      <c r="N139" s="159">
        <v>622</v>
      </c>
      <c r="O139" s="185">
        <f t="shared" si="7"/>
        <v>8906.1953240000003</v>
      </c>
      <c r="P139" s="215">
        <f t="shared" si="6"/>
        <v>2762.2190881072897</v>
      </c>
      <c r="Q139" s="215" cm="1">
        <f t="array" ref="Q139">IF(P139="-",0,P139/(1+'General inputs'!$H$32)^IFERROR(INDEX('MP Calculations'!$C$40:$C$130,MATCH(F139,'MP Calculations'!$D$40:$D$130,0),0),-1))</f>
        <v>6035.9381705331461</v>
      </c>
    </row>
    <row r="140" spans="3:17" x14ac:dyDescent="0.25">
      <c r="C140" s="159"/>
      <c r="D140" s="165" t="s">
        <v>300</v>
      </c>
      <c r="E140" s="161">
        <v>38127</v>
      </c>
      <c r="F140" s="172" t="str">
        <f t="shared" si="4"/>
        <v>2003-04</v>
      </c>
      <c r="G140" s="68"/>
      <c r="H140" s="167" t="s">
        <v>279</v>
      </c>
      <c r="I140" s="173">
        <v>89592.114709699614</v>
      </c>
      <c r="J140" s="168">
        <f>IFERROR(MIN('MP Calculations'!$E$30/I140,1),"-")</f>
        <v>0.31014580161562261</v>
      </c>
      <c r="K140" s="12"/>
      <c r="L140" s="159">
        <v>42.384596999999999</v>
      </c>
      <c r="M140" s="159" t="s">
        <v>408</v>
      </c>
      <c r="N140" s="159">
        <v>809</v>
      </c>
      <c r="O140" s="185">
        <f t="shared" si="7"/>
        <v>34289.138973000001</v>
      </c>
      <c r="P140" s="215">
        <f t="shared" si="6"/>
        <v>10634.632493490572</v>
      </c>
      <c r="Q140" s="215" cm="1">
        <f t="array" ref="Q140">IF(P140="-",0,P140/(1+'General inputs'!$H$32)^IFERROR(INDEX('MP Calculations'!$C$40:$C$130,MATCH(F140,'MP Calculations'!$D$40:$D$130,0),0),-1))</f>
        <v>23238.556446670449</v>
      </c>
    </row>
    <row r="141" spans="3:17" x14ac:dyDescent="0.25">
      <c r="C141" s="159"/>
      <c r="D141" s="165" t="s">
        <v>300</v>
      </c>
      <c r="E141" s="161">
        <v>38127</v>
      </c>
      <c r="F141" s="172" t="str">
        <f t="shared" si="4"/>
        <v>2003-04</v>
      </c>
      <c r="G141" s="68"/>
      <c r="H141" s="167" t="s">
        <v>279</v>
      </c>
      <c r="I141" s="173">
        <v>89592.114709699614</v>
      </c>
      <c r="J141" s="168">
        <f>IFERROR(MIN('MP Calculations'!$E$30/I141,1),"-")</f>
        <v>0.31014580161562261</v>
      </c>
      <c r="K141" s="12"/>
      <c r="L141" s="159">
        <v>13.787516</v>
      </c>
      <c r="M141" s="159" t="s">
        <v>408</v>
      </c>
      <c r="N141" s="159">
        <v>809</v>
      </c>
      <c r="O141" s="185">
        <f t="shared" si="7"/>
        <v>11154.100444</v>
      </c>
      <c r="P141" s="215">
        <f t="shared" si="6"/>
        <v>3459.3974235055521</v>
      </c>
      <c r="Q141" s="215" cm="1">
        <f t="array" ref="Q141">IF(P141="-",0,P141/(1+'General inputs'!$H$32)^IFERROR(INDEX('MP Calculations'!$C$40:$C$130,MATCH(F141,'MP Calculations'!$D$40:$D$130,0),0),-1))</f>
        <v>7559.3963728231738</v>
      </c>
    </row>
    <row r="142" spans="3:17" x14ac:dyDescent="0.25">
      <c r="C142" s="159"/>
      <c r="D142" s="165" t="s">
        <v>300</v>
      </c>
      <c r="E142" s="161">
        <v>38127</v>
      </c>
      <c r="F142" s="172" t="str">
        <f t="shared" si="4"/>
        <v>2003-04</v>
      </c>
      <c r="G142" s="68"/>
      <c r="H142" s="167" t="s">
        <v>279</v>
      </c>
      <c r="I142" s="173">
        <v>89592.114709699614</v>
      </c>
      <c r="J142" s="168">
        <f>IFERROR(MIN('MP Calculations'!$E$30/I142,1),"-")</f>
        <v>0.31014580161562261</v>
      </c>
      <c r="K142" s="12"/>
      <c r="L142" s="159">
        <v>41.920459000000001</v>
      </c>
      <c r="M142" s="159" t="s">
        <v>408</v>
      </c>
      <c r="N142" s="159">
        <v>809</v>
      </c>
      <c r="O142" s="185">
        <f t="shared" si="7"/>
        <v>33913.651331000001</v>
      </c>
      <c r="P142" s="215">
        <f t="shared" si="6"/>
        <v>10518.176577765722</v>
      </c>
      <c r="Q142" s="215" cm="1">
        <f t="array" ref="Q142">IF(P142="-",0,P142/(1+'General inputs'!$H$32)^IFERROR(INDEX('MP Calculations'!$C$40:$C$130,MATCH(F142,'MP Calculations'!$D$40:$D$130,0),0),-1))</f>
        <v>22984.079634916296</v>
      </c>
    </row>
    <row r="143" spans="3:17" x14ac:dyDescent="0.25">
      <c r="C143" s="159"/>
      <c r="D143" s="165" t="s">
        <v>300</v>
      </c>
      <c r="E143" s="161">
        <v>38127</v>
      </c>
      <c r="F143" s="172" t="str">
        <f t="shared" si="4"/>
        <v>2003-04</v>
      </c>
      <c r="G143" s="68"/>
      <c r="H143" s="167" t="s">
        <v>279</v>
      </c>
      <c r="I143" s="173">
        <v>89592.114709699614</v>
      </c>
      <c r="J143" s="168">
        <f>IFERROR(MIN('MP Calculations'!$E$30/I143,1),"-")</f>
        <v>0.31014580161562261</v>
      </c>
      <c r="K143" s="12"/>
      <c r="L143" s="159">
        <v>76.508566000000002</v>
      </c>
      <c r="M143" s="159" t="s">
        <v>408</v>
      </c>
      <c r="N143" s="159">
        <v>809</v>
      </c>
      <c r="O143" s="185">
        <f t="shared" si="7"/>
        <v>61895.429894000001</v>
      </c>
      <c r="P143" s="215">
        <f t="shared" si="6"/>
        <v>19196.6077208182</v>
      </c>
      <c r="Q143" s="215" cm="1">
        <f t="array" ref="Q143">IF(P143="-",0,P143/(1+'General inputs'!$H$32)^IFERROR(INDEX('MP Calculations'!$C$40:$C$130,MATCH(F143,'MP Calculations'!$D$40:$D$130,0),0),-1))</f>
        <v>41947.989493560868</v>
      </c>
    </row>
    <row r="144" spans="3:17" x14ac:dyDescent="0.25">
      <c r="C144" s="159"/>
      <c r="D144" s="165" t="s">
        <v>300</v>
      </c>
      <c r="E144" s="161">
        <v>38127</v>
      </c>
      <c r="F144" s="172" t="str">
        <f t="shared" si="4"/>
        <v>2003-04</v>
      </c>
      <c r="G144" s="68"/>
      <c r="H144" s="167" t="s">
        <v>279</v>
      </c>
      <c r="I144" s="173">
        <v>89592.114709699614</v>
      </c>
      <c r="J144" s="168">
        <f>IFERROR(MIN('MP Calculations'!$E$30/I144,1),"-")</f>
        <v>0.31014580161562261</v>
      </c>
      <c r="K144" s="12"/>
      <c r="L144" s="159">
        <v>102.872927</v>
      </c>
      <c r="M144" s="159" t="s">
        <v>408</v>
      </c>
      <c r="N144" s="159">
        <v>809</v>
      </c>
      <c r="O144" s="185">
        <f t="shared" si="7"/>
        <v>83224.197943000006</v>
      </c>
      <c r="P144" s="215">
        <f t="shared" si="6"/>
        <v>25811.635584848987</v>
      </c>
      <c r="Q144" s="215" cm="1">
        <f t="array" ref="Q144">IF(P144="-",0,P144/(1+'General inputs'!$H$32)^IFERROR(INDEX('MP Calculations'!$C$40:$C$130,MATCH(F144,'MP Calculations'!$D$40:$D$130,0),0),-1))</f>
        <v>56402.997554128189</v>
      </c>
    </row>
    <row r="145" spans="3:17" x14ac:dyDescent="0.25">
      <c r="C145" s="159"/>
      <c r="D145" s="165" t="s">
        <v>300</v>
      </c>
      <c r="E145" s="161">
        <v>38127</v>
      </c>
      <c r="F145" s="172" t="str">
        <f t="shared" si="4"/>
        <v>2003-04</v>
      </c>
      <c r="G145" s="68"/>
      <c r="H145" s="167" t="s">
        <v>279</v>
      </c>
      <c r="I145" s="173">
        <v>89592.114709699614</v>
      </c>
      <c r="J145" s="168">
        <f>IFERROR(MIN('MP Calculations'!$E$30/I145,1),"-")</f>
        <v>0.31014580161562261</v>
      </c>
      <c r="K145" s="12"/>
      <c r="L145" s="159">
        <v>28.660724999999999</v>
      </c>
      <c r="M145" s="159" t="s">
        <v>408</v>
      </c>
      <c r="N145" s="159">
        <v>809</v>
      </c>
      <c r="O145" s="185">
        <f t="shared" si="7"/>
        <v>23186.526525000001</v>
      </c>
      <c r="P145" s="215">
        <f t="shared" si="6"/>
        <v>7191.2038557780215</v>
      </c>
      <c r="Q145" s="215" cm="1">
        <f t="array" ref="Q145">IF(P145="-",0,P145/(1+'General inputs'!$H$32)^IFERROR(INDEX('MP Calculations'!$C$40:$C$130,MATCH(F145,'MP Calculations'!$D$40:$D$130,0),0),-1))</f>
        <v>15714.054700461089</v>
      </c>
    </row>
    <row r="146" spans="3:17" x14ac:dyDescent="0.25">
      <c r="C146" s="159"/>
      <c r="D146" s="165" t="s">
        <v>300</v>
      </c>
      <c r="E146" s="161">
        <v>38127</v>
      </c>
      <c r="F146" s="172" t="str">
        <f t="shared" si="4"/>
        <v>2003-04</v>
      </c>
      <c r="G146" s="68"/>
      <c r="H146" s="167" t="s">
        <v>279</v>
      </c>
      <c r="I146" s="173">
        <v>89592.114709699614</v>
      </c>
      <c r="J146" s="168">
        <f>IFERROR(MIN('MP Calculations'!$E$30/I146,1),"-")</f>
        <v>0.31014580161562261</v>
      </c>
      <c r="K146" s="12"/>
      <c r="L146" s="159">
        <v>6.6974869999999997</v>
      </c>
      <c r="M146" s="159" t="s">
        <v>408</v>
      </c>
      <c r="N146" s="159">
        <v>809</v>
      </c>
      <c r="O146" s="185">
        <f t="shared" si="7"/>
        <v>5418.2669829999995</v>
      </c>
      <c r="P146" s="215">
        <f t="shared" si="6"/>
        <v>1680.4527568099959</v>
      </c>
      <c r="Q146" s="215" cm="1">
        <f t="array" ref="Q146">IF(P146="-",0,P146/(1+'General inputs'!$H$32)^IFERROR(INDEX('MP Calculations'!$C$40:$C$130,MATCH(F146,'MP Calculations'!$D$40:$D$130,0),0),-1))</f>
        <v>3672.0870485176847</v>
      </c>
    </row>
    <row r="147" spans="3:17" x14ac:dyDescent="0.25">
      <c r="C147" s="159"/>
      <c r="D147" s="165" t="s">
        <v>470</v>
      </c>
      <c r="E147" s="161">
        <v>38139</v>
      </c>
      <c r="F147" s="172" t="str">
        <f t="shared" si="4"/>
        <v>2003-04</v>
      </c>
      <c r="G147" s="68"/>
      <c r="H147" s="167" t="s">
        <v>279</v>
      </c>
      <c r="I147" s="173">
        <v>89592.114709699614</v>
      </c>
      <c r="J147" s="168">
        <f>IFERROR(MIN('MP Calculations'!$E$30/I147,1),"-")</f>
        <v>0.31014580161562261</v>
      </c>
      <c r="K147" s="12"/>
      <c r="L147" s="159">
        <v>1</v>
      </c>
      <c r="M147" s="159" t="s">
        <v>409</v>
      </c>
      <c r="N147" s="159">
        <v>45594.79</v>
      </c>
      <c r="O147" s="185">
        <f t="shared" si="7"/>
        <v>45594.79</v>
      </c>
      <c r="P147" s="215">
        <f t="shared" si="6"/>
        <v>14141.032694045974</v>
      </c>
      <c r="Q147" s="215" cm="1">
        <f t="array" ref="Q147">IF(P147="-",0,P147/(1+'General inputs'!$H$32)^IFERROR(INDEX('MP Calculations'!$C$40:$C$130,MATCH(F147,'MP Calculations'!$D$40:$D$130,0),0),-1))</f>
        <v>30900.662216202141</v>
      </c>
    </row>
    <row r="148" spans="3:17" x14ac:dyDescent="0.25">
      <c r="C148" s="159"/>
      <c r="D148" s="165" t="s">
        <v>471</v>
      </c>
      <c r="E148" s="161">
        <v>38169</v>
      </c>
      <c r="F148" s="172" t="str">
        <f t="shared" si="4"/>
        <v>2004-05</v>
      </c>
      <c r="G148" s="68"/>
      <c r="H148" s="167" t="s">
        <v>279</v>
      </c>
      <c r="I148" s="173">
        <v>89592.114709699614</v>
      </c>
      <c r="J148" s="168">
        <f>IFERROR(MIN('MP Calculations'!$E$30/I148,1),"-")</f>
        <v>0.31014580161562261</v>
      </c>
      <c r="K148" s="12"/>
      <c r="L148" s="159">
        <v>1</v>
      </c>
      <c r="M148" s="159" t="s">
        <v>409</v>
      </c>
      <c r="N148" s="159">
        <v>5628.11</v>
      </c>
      <c r="O148" s="185">
        <f t="shared" si="7"/>
        <v>5628.11</v>
      </c>
      <c r="P148" s="215">
        <f t="shared" si="6"/>
        <v>1745.5346875309017</v>
      </c>
      <c r="Q148" s="215" cm="1">
        <f t="array" ref="Q148">IF(P148="-",0,P148/(1+'General inputs'!$H$32)^IFERROR(INDEX('MP Calculations'!$C$40:$C$130,MATCH(F148,'MP Calculations'!$D$40:$D$130,0),0),-1))</f>
        <v>3660.5591167073567</v>
      </c>
    </row>
    <row r="149" spans="3:17" x14ac:dyDescent="0.25">
      <c r="C149" s="159"/>
      <c r="D149" s="165" t="s">
        <v>472</v>
      </c>
      <c r="E149" s="161">
        <v>38169</v>
      </c>
      <c r="F149" s="172" t="str">
        <f t="shared" si="4"/>
        <v>2004-05</v>
      </c>
      <c r="G149" s="68"/>
      <c r="H149" s="167" t="s">
        <v>279</v>
      </c>
      <c r="I149" s="173">
        <v>89592.114709699614</v>
      </c>
      <c r="J149" s="168">
        <f>IFERROR(MIN('MP Calculations'!$E$30/I149,1),"-")</f>
        <v>0.31014580161562261</v>
      </c>
      <c r="K149" s="12"/>
      <c r="L149" s="159">
        <v>1</v>
      </c>
      <c r="M149" s="159" t="s">
        <v>409</v>
      </c>
      <c r="N149" s="159">
        <v>66268.56</v>
      </c>
      <c r="O149" s="185">
        <f t="shared" si="7"/>
        <v>66268.56</v>
      </c>
      <c r="P149" s="215">
        <f t="shared" si="6"/>
        <v>20552.915663112984</v>
      </c>
      <c r="Q149" s="215" cm="1">
        <f t="array" ref="Q149">IF(P149="-",0,P149/(1+'General inputs'!$H$32)^IFERROR(INDEX('MP Calculations'!$C$40:$C$130,MATCH(F149,'MP Calculations'!$D$40:$D$130,0),0),-1))</f>
        <v>43101.499696890867</v>
      </c>
    </row>
    <row r="150" spans="3:17" x14ac:dyDescent="0.25">
      <c r="C150" s="159"/>
      <c r="D150" s="165" t="s">
        <v>473</v>
      </c>
      <c r="E150" s="161">
        <v>38169</v>
      </c>
      <c r="F150" s="172" t="str">
        <f t="shared" ref="F150:F213" si="8">IF(E150="","-",IF(OR(E150&lt;$E$15,E150&gt;$E$16),"ERROR - date outside of range",IF(MONTH(E150)&gt;=7,YEAR(E150)&amp;"-"&amp;IF(YEAR(E150)=1999,"00",IF(AND(YEAR(E150)&gt;=2000,YEAR(E150)&lt;2009),"0","")&amp;RIGHT(YEAR(E150),2)+1),RIGHT(YEAR(E150),4)-1&amp;"-"&amp;RIGHT(YEAR(E150),2))))</f>
        <v>2004-05</v>
      </c>
      <c r="G150" s="68"/>
      <c r="H150" s="167" t="s">
        <v>279</v>
      </c>
      <c r="I150" s="173">
        <v>89592.114709699614</v>
      </c>
      <c r="J150" s="168">
        <f>IFERROR(MIN('MP Calculations'!$E$30/I150,1),"-")</f>
        <v>0.31014580161562261</v>
      </c>
      <c r="K150" s="12"/>
      <c r="L150" s="159">
        <v>1</v>
      </c>
      <c r="M150" s="159" t="s">
        <v>409</v>
      </c>
      <c r="N150" s="159">
        <v>6488.24</v>
      </c>
      <c r="O150" s="185">
        <f t="shared" si="7"/>
        <v>6488.24</v>
      </c>
      <c r="P150" s="215">
        <f t="shared" si="6"/>
        <v>2012.3003958745471</v>
      </c>
      <c r="Q150" s="215" cm="1">
        <f t="array" ref="Q150">IF(P150="-",0,P150/(1+'General inputs'!$H$32)^IFERROR(INDEX('MP Calculations'!$C$40:$C$130,MATCH(F150,'MP Calculations'!$D$40:$D$130,0),0),-1))</f>
        <v>4219.9932274574121</v>
      </c>
    </row>
    <row r="151" spans="3:17" x14ac:dyDescent="0.25">
      <c r="C151" s="159"/>
      <c r="D151" s="165" t="s">
        <v>474</v>
      </c>
      <c r="E151" s="161">
        <v>38320</v>
      </c>
      <c r="F151" s="172" t="str">
        <f t="shared" si="8"/>
        <v>2004-05</v>
      </c>
      <c r="G151" s="68"/>
      <c r="H151" s="167" t="s">
        <v>279</v>
      </c>
      <c r="I151" s="173">
        <v>89592.114709699614</v>
      </c>
      <c r="J151" s="168">
        <f>IFERROR(MIN('MP Calculations'!$E$30/I151,1),"-")</f>
        <v>0.31014580161562261</v>
      </c>
      <c r="K151" s="12"/>
      <c r="L151" s="159">
        <v>1</v>
      </c>
      <c r="M151" s="159" t="s">
        <v>409</v>
      </c>
      <c r="N151" s="159">
        <v>14379.6</v>
      </c>
      <c r="O151" s="185">
        <f t="shared" si="7"/>
        <v>14379.6</v>
      </c>
      <c r="P151" s="215">
        <f t="shared" ref="P151:P214" si="9">IF(O151="-","-",IF(OR(E151&lt;$E$15,E151&gt;$E$16),0,O151*J151))</f>
        <v>4459.772568912007</v>
      </c>
      <c r="Q151" s="215" cm="1">
        <f t="array" ref="Q151">IF(P151="-",0,P151/(1+'General inputs'!$H$32)^IFERROR(INDEX('MP Calculations'!$C$40:$C$130,MATCH(F151,'MP Calculations'!$D$40:$D$130,0),0),-1))</f>
        <v>9352.5847708387191</v>
      </c>
    </row>
    <row r="152" spans="3:17" x14ac:dyDescent="0.25">
      <c r="C152" s="159"/>
      <c r="D152" s="165" t="s">
        <v>475</v>
      </c>
      <c r="E152" s="161">
        <v>38364</v>
      </c>
      <c r="F152" s="172" t="str">
        <f t="shared" si="8"/>
        <v>2004-05</v>
      </c>
      <c r="G152" s="68"/>
      <c r="H152" s="167" t="s">
        <v>279</v>
      </c>
      <c r="I152" s="173">
        <v>89592.114709699614</v>
      </c>
      <c r="J152" s="168">
        <f>IFERROR(MIN('MP Calculations'!$E$30/I152,1),"-")</f>
        <v>0.31014580161562261</v>
      </c>
      <c r="K152" s="12"/>
      <c r="L152" s="159">
        <v>1</v>
      </c>
      <c r="M152" s="159" t="s">
        <v>409</v>
      </c>
      <c r="N152" s="159">
        <v>51324.18</v>
      </c>
      <c r="O152" s="185">
        <f t="shared" si="7"/>
        <v>51324.18</v>
      </c>
      <c r="P152" s="215">
        <f t="shared" si="9"/>
        <v>15917.978948364505</v>
      </c>
      <c r="Q152" s="215" cm="1">
        <f t="array" ref="Q152">IF(P152="-",0,P152/(1+'General inputs'!$H$32)^IFERROR(INDEX('MP Calculations'!$C$40:$C$130,MATCH(F152,'MP Calculations'!$D$40:$D$130,0),0),-1))</f>
        <v>33381.578364056382</v>
      </c>
    </row>
    <row r="153" spans="3:17" x14ac:dyDescent="0.25">
      <c r="C153" s="159"/>
      <c r="D153" s="165" t="s">
        <v>476</v>
      </c>
      <c r="E153" s="161">
        <v>38504</v>
      </c>
      <c r="F153" s="172" t="str">
        <f t="shared" si="8"/>
        <v>2004-05</v>
      </c>
      <c r="G153" s="68"/>
      <c r="H153" s="167" t="s">
        <v>279</v>
      </c>
      <c r="I153" s="173">
        <v>89592.114709699614</v>
      </c>
      <c r="J153" s="168">
        <f>IFERROR(MIN('MP Calculations'!$E$30/I153,1),"-")</f>
        <v>0.31014580161562261</v>
      </c>
      <c r="K153" s="12"/>
      <c r="L153" s="159">
        <v>1</v>
      </c>
      <c r="M153" s="159" t="s">
        <v>409</v>
      </c>
      <c r="N153" s="159">
        <v>40600.04</v>
      </c>
      <c r="O153" s="185">
        <f t="shared" si="7"/>
        <v>40600.04</v>
      </c>
      <c r="P153" s="215">
        <f t="shared" si="9"/>
        <v>12591.931951426342</v>
      </c>
      <c r="Q153" s="215" cm="1">
        <f t="array" ref="Q153">IF(P153="-",0,P153/(1+'General inputs'!$H$32)^IFERROR(INDEX('MP Calculations'!$C$40:$C$130,MATCH(F153,'MP Calculations'!$D$40:$D$130,0),0),-1))</f>
        <v>26406.528401307605</v>
      </c>
    </row>
    <row r="154" spans="3:17" x14ac:dyDescent="0.25">
      <c r="C154" s="159"/>
      <c r="D154" s="165" t="s">
        <v>283</v>
      </c>
      <c r="E154" s="161">
        <v>38579</v>
      </c>
      <c r="F154" s="172" t="str">
        <f t="shared" si="8"/>
        <v>2005-06</v>
      </c>
      <c r="G154" s="68"/>
      <c r="H154" s="167" t="s">
        <v>279</v>
      </c>
      <c r="I154" s="173">
        <v>89592.114709699614</v>
      </c>
      <c r="J154" s="168">
        <f>IFERROR(MIN('MP Calculations'!$E$30/I154,1),"-")</f>
        <v>0.31014580161562261</v>
      </c>
      <c r="K154" s="12"/>
      <c r="L154" s="159">
        <v>72.483846</v>
      </c>
      <c r="M154" s="159" t="s">
        <v>408</v>
      </c>
      <c r="N154" s="159">
        <v>622</v>
      </c>
      <c r="O154" s="185">
        <f t="shared" si="7"/>
        <v>45084.952211999997</v>
      </c>
      <c r="P154" s="215">
        <f t="shared" si="9"/>
        <v>13982.908644592777</v>
      </c>
      <c r="Q154" s="215" cm="1">
        <f t="array" ref="Q154">IF(P154="-",0,P154/(1+'General inputs'!$H$32)^IFERROR(INDEX('MP Calculations'!$C$40:$C$130,MATCH(F154,'MP Calculations'!$D$40:$D$130,0),0),-1))</f>
        <v>28141.597205922728</v>
      </c>
    </row>
    <row r="155" spans="3:17" x14ac:dyDescent="0.25">
      <c r="C155" s="159"/>
      <c r="D155" s="165" t="s">
        <v>283</v>
      </c>
      <c r="E155" s="161">
        <v>38579</v>
      </c>
      <c r="F155" s="172" t="str">
        <f t="shared" si="8"/>
        <v>2005-06</v>
      </c>
      <c r="G155" s="68"/>
      <c r="H155" s="167" t="s">
        <v>279</v>
      </c>
      <c r="I155" s="173">
        <v>89592.114709699614</v>
      </c>
      <c r="J155" s="168">
        <f>IFERROR(MIN('MP Calculations'!$E$30/I155,1),"-")</f>
        <v>0.31014580161562261</v>
      </c>
      <c r="K155" s="12"/>
      <c r="L155" s="159">
        <v>14.496613</v>
      </c>
      <c r="M155" s="159" t="s">
        <v>408</v>
      </c>
      <c r="N155" s="159">
        <v>622</v>
      </c>
      <c r="O155" s="185">
        <f t="shared" si="7"/>
        <v>9016.8932860000004</v>
      </c>
      <c r="P155" s="215">
        <f t="shared" si="9"/>
        <v>2796.5515962689956</v>
      </c>
      <c r="Q155" s="215" cm="1">
        <f t="array" ref="Q155">IF(P155="-",0,P155/(1+'General inputs'!$H$32)^IFERROR(INDEX('MP Calculations'!$C$40:$C$130,MATCH(F155,'MP Calculations'!$D$40:$D$130,0),0),-1))</f>
        <v>5628.2587970862241</v>
      </c>
    </row>
    <row r="156" spans="3:17" x14ac:dyDescent="0.25">
      <c r="C156" s="159"/>
      <c r="D156" s="165" t="s">
        <v>477</v>
      </c>
      <c r="E156" s="161">
        <v>38749</v>
      </c>
      <c r="F156" s="172" t="str">
        <f t="shared" si="8"/>
        <v>2005-06</v>
      </c>
      <c r="G156" s="68"/>
      <c r="H156" s="167" t="s">
        <v>279</v>
      </c>
      <c r="I156" s="173">
        <v>89592.114709699614</v>
      </c>
      <c r="J156" s="168">
        <f>IFERROR(MIN('MP Calculations'!$E$30/I156,1),"-")</f>
        <v>0.31014580161562261</v>
      </c>
      <c r="K156" s="12"/>
      <c r="L156" s="159">
        <v>1</v>
      </c>
      <c r="M156" s="159" t="s">
        <v>409</v>
      </c>
      <c r="N156" s="159">
        <v>11505.51</v>
      </c>
      <c r="O156" s="185">
        <f t="shared" si="7"/>
        <v>11505.51</v>
      </c>
      <c r="P156" s="215">
        <f t="shared" si="9"/>
        <v>3568.385621946562</v>
      </c>
      <c r="Q156" s="215" cm="1">
        <f t="array" ref="Q156">IF(P156="-",0,P156/(1+'General inputs'!$H$32)^IFERROR(INDEX('MP Calculations'!$C$40:$C$130,MATCH(F156,'MP Calculations'!$D$40:$D$130,0),0),-1))</f>
        <v>7181.6296166004686</v>
      </c>
    </row>
    <row r="157" spans="3:17" x14ac:dyDescent="0.25">
      <c r="C157" s="159"/>
      <c r="D157" s="165" t="s">
        <v>478</v>
      </c>
      <c r="E157" s="161">
        <v>38749</v>
      </c>
      <c r="F157" s="172" t="str">
        <f t="shared" si="8"/>
        <v>2005-06</v>
      </c>
      <c r="G157" s="68"/>
      <c r="H157" s="167" t="s">
        <v>279</v>
      </c>
      <c r="I157" s="173">
        <v>89592.114709699614</v>
      </c>
      <c r="J157" s="168">
        <f>IFERROR(MIN('MP Calculations'!$E$30/I157,1),"-")</f>
        <v>0.31014580161562261</v>
      </c>
      <c r="K157" s="12"/>
      <c r="L157" s="159">
        <v>1</v>
      </c>
      <c r="M157" s="159" t="s">
        <v>409</v>
      </c>
      <c r="N157" s="159">
        <v>3107.44</v>
      </c>
      <c r="O157" s="185">
        <f t="shared" si="7"/>
        <v>3107.44</v>
      </c>
      <c r="P157" s="215">
        <f t="shared" si="9"/>
        <v>963.7594697724503</v>
      </c>
      <c r="Q157" s="215" cm="1">
        <f t="array" ref="Q157">IF(P157="-",0,P157/(1+'General inputs'!$H$32)^IFERROR(INDEX('MP Calculations'!$C$40:$C$130,MATCH(F157,'MP Calculations'!$D$40:$D$130,0),0),-1))</f>
        <v>1939.6344130602608</v>
      </c>
    </row>
    <row r="158" spans="3:17" x14ac:dyDescent="0.25">
      <c r="C158" s="159"/>
      <c r="D158" s="165" t="s">
        <v>479</v>
      </c>
      <c r="E158" s="161">
        <v>38749</v>
      </c>
      <c r="F158" s="172" t="str">
        <f t="shared" si="8"/>
        <v>2005-06</v>
      </c>
      <c r="G158" s="68"/>
      <c r="H158" s="167" t="s">
        <v>279</v>
      </c>
      <c r="I158" s="173">
        <v>89592.114709699614</v>
      </c>
      <c r="J158" s="168">
        <f>IFERROR(MIN('MP Calculations'!$E$30/I158,1),"-")</f>
        <v>0.31014580161562261</v>
      </c>
      <c r="K158" s="12"/>
      <c r="L158" s="159">
        <v>1</v>
      </c>
      <c r="M158" s="159" t="s">
        <v>409</v>
      </c>
      <c r="N158" s="159">
        <v>21237.34</v>
      </c>
      <c r="O158" s="185">
        <f t="shared" si="7"/>
        <v>21237.34</v>
      </c>
      <c r="P158" s="215">
        <f t="shared" si="9"/>
        <v>6586.6718384835267</v>
      </c>
      <c r="Q158" s="215" cm="1">
        <f t="array" ref="Q158">IF(P158="-",0,P158/(1+'General inputs'!$H$32)^IFERROR(INDEX('MP Calculations'!$C$40:$C$130,MATCH(F158,'MP Calculations'!$D$40:$D$130,0),0),-1))</f>
        <v>13256.145092378678</v>
      </c>
    </row>
    <row r="159" spans="3:17" x14ac:dyDescent="0.25">
      <c r="C159" s="159"/>
      <c r="D159" s="165" t="s">
        <v>480</v>
      </c>
      <c r="E159" s="161">
        <v>38749</v>
      </c>
      <c r="F159" s="172" t="str">
        <f t="shared" si="8"/>
        <v>2005-06</v>
      </c>
      <c r="G159" s="68"/>
      <c r="H159" s="167" t="s">
        <v>279</v>
      </c>
      <c r="I159" s="173">
        <v>89592.114709699614</v>
      </c>
      <c r="J159" s="168">
        <f>IFERROR(MIN('MP Calculations'!$E$30/I159,1),"-")</f>
        <v>0.31014580161562261</v>
      </c>
      <c r="K159" s="12"/>
      <c r="L159" s="159">
        <v>1</v>
      </c>
      <c r="M159" s="159" t="s">
        <v>409</v>
      </c>
      <c r="N159" s="159">
        <v>778.04</v>
      </c>
      <c r="O159" s="185">
        <f t="shared" si="7"/>
        <v>778.04</v>
      </c>
      <c r="P159" s="215">
        <f t="shared" si="9"/>
        <v>241.30583948901901</v>
      </c>
      <c r="Q159" s="215" cm="1">
        <f t="array" ref="Q159">IF(P159="-",0,P159/(1+'General inputs'!$H$32)^IFERROR(INDEX('MP Calculations'!$C$40:$C$130,MATCH(F159,'MP Calculations'!$D$40:$D$130,0),0),-1))</f>
        <v>485.64514801167689</v>
      </c>
    </row>
    <row r="160" spans="3:17" x14ac:dyDescent="0.25">
      <c r="C160" s="159"/>
      <c r="D160" s="165" t="s">
        <v>480</v>
      </c>
      <c r="E160" s="161">
        <v>38749</v>
      </c>
      <c r="F160" s="172" t="str">
        <f t="shared" si="8"/>
        <v>2005-06</v>
      </c>
      <c r="G160" s="68"/>
      <c r="H160" s="167" t="s">
        <v>279</v>
      </c>
      <c r="I160" s="173">
        <v>89592.114709699614</v>
      </c>
      <c r="J160" s="168">
        <f>IFERROR(MIN('MP Calculations'!$E$30/I160,1),"-")</f>
        <v>0.31014580161562261</v>
      </c>
      <c r="K160" s="12"/>
      <c r="L160" s="159">
        <v>1</v>
      </c>
      <c r="M160" s="159" t="s">
        <v>409</v>
      </c>
      <c r="N160" s="159">
        <v>1961.02</v>
      </c>
      <c r="O160" s="185">
        <f t="shared" si="7"/>
        <v>1961.02</v>
      </c>
      <c r="P160" s="215">
        <f t="shared" si="9"/>
        <v>608.2021198842682</v>
      </c>
      <c r="Q160" s="215" cm="1">
        <f t="array" ref="Q160">IF(P160="-",0,P160/(1+'General inputs'!$H$32)^IFERROR(INDEX('MP Calculations'!$C$40:$C$130,MATCH(F160,'MP Calculations'!$D$40:$D$130,0),0),-1))</f>
        <v>1224.049982203818</v>
      </c>
    </row>
    <row r="161" spans="3:17" x14ac:dyDescent="0.25">
      <c r="C161" s="159"/>
      <c r="D161" s="165" t="s">
        <v>480</v>
      </c>
      <c r="E161" s="161">
        <v>38749</v>
      </c>
      <c r="F161" s="172" t="str">
        <f t="shared" si="8"/>
        <v>2005-06</v>
      </c>
      <c r="G161" s="68"/>
      <c r="H161" s="167" t="s">
        <v>279</v>
      </c>
      <c r="I161" s="173">
        <v>89592.114709699614</v>
      </c>
      <c r="J161" s="168">
        <f>IFERROR(MIN('MP Calculations'!$E$30/I161,1),"-")</f>
        <v>0.31014580161562261</v>
      </c>
      <c r="K161" s="12"/>
      <c r="L161" s="159">
        <v>1</v>
      </c>
      <c r="M161" s="159" t="s">
        <v>409</v>
      </c>
      <c r="N161" s="159">
        <v>2993.97</v>
      </c>
      <c r="O161" s="185">
        <f t="shared" si="7"/>
        <v>2993.97</v>
      </c>
      <c r="P161" s="215">
        <f t="shared" si="9"/>
        <v>928.56722566312556</v>
      </c>
      <c r="Q161" s="215" cm="1">
        <f t="array" ref="Q161">IF(P161="-",0,P161/(1+'General inputs'!$H$32)^IFERROR(INDEX('MP Calculations'!$C$40:$C$130,MATCH(F161,'MP Calculations'!$D$40:$D$130,0),0),-1))</f>
        <v>1868.8075211975222</v>
      </c>
    </row>
    <row r="162" spans="3:17" x14ac:dyDescent="0.25">
      <c r="C162" s="159"/>
      <c r="D162" s="165" t="s">
        <v>480</v>
      </c>
      <c r="E162" s="161">
        <v>38749</v>
      </c>
      <c r="F162" s="172" t="str">
        <f t="shared" si="8"/>
        <v>2005-06</v>
      </c>
      <c r="G162" s="68"/>
      <c r="H162" s="167" t="s">
        <v>279</v>
      </c>
      <c r="I162" s="173">
        <v>89592.114709699614</v>
      </c>
      <c r="J162" s="168">
        <f>IFERROR(MIN('MP Calculations'!$E$30/I162,1),"-")</f>
        <v>0.31014580161562261</v>
      </c>
      <c r="K162" s="12"/>
      <c r="L162" s="159">
        <v>1</v>
      </c>
      <c r="M162" s="159" t="s">
        <v>409</v>
      </c>
      <c r="N162" s="159">
        <v>264.77999999999997</v>
      </c>
      <c r="O162" s="185">
        <f t="shared" si="7"/>
        <v>264.77999999999997</v>
      </c>
      <c r="P162" s="215">
        <f t="shared" si="9"/>
        <v>82.120405351784541</v>
      </c>
      <c r="Q162" s="215" cm="1">
        <f t="array" ref="Q162">IF(P162="-",0,P162/(1+'General inputs'!$H$32)^IFERROR(INDEX('MP Calculations'!$C$40:$C$130,MATCH(F162,'MP Calculations'!$D$40:$D$130,0),0),-1))</f>
        <v>165.27315085411007</v>
      </c>
    </row>
    <row r="163" spans="3:17" x14ac:dyDescent="0.25">
      <c r="C163" s="159"/>
      <c r="D163" s="165" t="s">
        <v>481</v>
      </c>
      <c r="E163" s="161">
        <v>38883</v>
      </c>
      <c r="F163" s="172" t="str">
        <f t="shared" si="8"/>
        <v>2005-06</v>
      </c>
      <c r="G163" s="68"/>
      <c r="H163" s="167" t="s">
        <v>279</v>
      </c>
      <c r="I163" s="173">
        <v>89592.114709699614</v>
      </c>
      <c r="J163" s="168">
        <f>IFERROR(MIN('MP Calculations'!$E$30/I163,1),"-")</f>
        <v>0.31014580161562261</v>
      </c>
      <c r="K163" s="12"/>
      <c r="L163" s="159">
        <v>1</v>
      </c>
      <c r="M163" s="159" t="s">
        <v>409</v>
      </c>
      <c r="N163" s="159">
        <v>484.85</v>
      </c>
      <c r="O163" s="185">
        <f t="shared" si="7"/>
        <v>484.85</v>
      </c>
      <c r="P163" s="215">
        <f t="shared" si="9"/>
        <v>150.37419191333464</v>
      </c>
      <c r="Q163" s="215" cm="1">
        <f t="array" ref="Q163">IF(P163="-",0,P163/(1+'General inputs'!$H$32)^IFERROR(INDEX('MP Calculations'!$C$40:$C$130,MATCH(F163,'MP Calculations'!$D$40:$D$130,0),0),-1))</f>
        <v>302.638746097195</v>
      </c>
    </row>
    <row r="164" spans="3:17" x14ac:dyDescent="0.25">
      <c r="C164" s="159"/>
      <c r="D164" s="165" t="s">
        <v>482</v>
      </c>
      <c r="E164" s="161">
        <v>38883</v>
      </c>
      <c r="F164" s="172" t="str">
        <f t="shared" si="8"/>
        <v>2005-06</v>
      </c>
      <c r="G164" s="68"/>
      <c r="H164" s="167" t="s">
        <v>279</v>
      </c>
      <c r="I164" s="173">
        <v>89592.114709699614</v>
      </c>
      <c r="J164" s="168">
        <f>IFERROR(MIN('MP Calculations'!$E$30/I164,1),"-")</f>
        <v>0.31014580161562261</v>
      </c>
      <c r="K164" s="12"/>
      <c r="L164" s="159">
        <v>1</v>
      </c>
      <c r="M164" s="159" t="s">
        <v>409</v>
      </c>
      <c r="N164" s="159">
        <v>508.64</v>
      </c>
      <c r="O164" s="185">
        <f t="shared" si="7"/>
        <v>508.64</v>
      </c>
      <c r="P164" s="215">
        <f t="shared" si="9"/>
        <v>157.75256053377029</v>
      </c>
      <c r="Q164" s="215" cm="1">
        <f t="array" ref="Q164">IF(P164="-",0,P164/(1+'General inputs'!$H$32)^IFERROR(INDEX('MP Calculations'!$C$40:$C$130,MATCH(F164,'MP Calculations'!$D$40:$D$130,0),0),-1))</f>
        <v>317.48823721744299</v>
      </c>
    </row>
    <row r="165" spans="3:17" x14ac:dyDescent="0.25">
      <c r="C165" s="159"/>
      <c r="D165" s="165" t="s">
        <v>483</v>
      </c>
      <c r="E165" s="161">
        <v>38883</v>
      </c>
      <c r="F165" s="172" t="str">
        <f t="shared" si="8"/>
        <v>2005-06</v>
      </c>
      <c r="G165" s="68"/>
      <c r="H165" s="167" t="s">
        <v>279</v>
      </c>
      <c r="I165" s="173">
        <v>89592.114709699614</v>
      </c>
      <c r="J165" s="168">
        <f>IFERROR(MIN('MP Calculations'!$E$30/I165,1),"-")</f>
        <v>0.31014580161562261</v>
      </c>
      <c r="K165" s="12"/>
      <c r="L165" s="159">
        <v>1</v>
      </c>
      <c r="M165" s="159" t="s">
        <v>409</v>
      </c>
      <c r="N165" s="159">
        <v>508.64</v>
      </c>
      <c r="O165" s="185">
        <f t="shared" si="7"/>
        <v>508.64</v>
      </c>
      <c r="P165" s="215">
        <f t="shared" si="9"/>
        <v>157.75256053377029</v>
      </c>
      <c r="Q165" s="215" cm="1">
        <f t="array" ref="Q165">IF(P165="-",0,P165/(1+'General inputs'!$H$32)^IFERROR(INDEX('MP Calculations'!$C$40:$C$130,MATCH(F165,'MP Calculations'!$D$40:$D$130,0),0),-1))</f>
        <v>317.48823721744299</v>
      </c>
    </row>
    <row r="166" spans="3:17" x14ac:dyDescent="0.25">
      <c r="C166" s="159"/>
      <c r="D166" s="165" t="s">
        <v>484</v>
      </c>
      <c r="E166" s="161">
        <v>38883</v>
      </c>
      <c r="F166" s="172" t="str">
        <f t="shared" si="8"/>
        <v>2005-06</v>
      </c>
      <c r="G166" s="68"/>
      <c r="H166" s="167" t="s">
        <v>279</v>
      </c>
      <c r="I166" s="173">
        <v>89592.114709699614</v>
      </c>
      <c r="J166" s="168">
        <f>IFERROR(MIN('MP Calculations'!$E$30/I166,1),"-")</f>
        <v>0.31014580161562261</v>
      </c>
      <c r="K166" s="12"/>
      <c r="L166" s="159">
        <v>1</v>
      </c>
      <c r="M166" s="159" t="s">
        <v>409</v>
      </c>
      <c r="N166" s="159">
        <v>508.64</v>
      </c>
      <c r="O166" s="185">
        <f t="shared" si="7"/>
        <v>508.64</v>
      </c>
      <c r="P166" s="215">
        <f t="shared" si="9"/>
        <v>157.75256053377029</v>
      </c>
      <c r="Q166" s="215" cm="1">
        <f t="array" ref="Q166">IF(P166="-",0,P166/(1+'General inputs'!$H$32)^IFERROR(INDEX('MP Calculations'!$C$40:$C$130,MATCH(F166,'MP Calculations'!$D$40:$D$130,0),0),-1))</f>
        <v>317.48823721744299</v>
      </c>
    </row>
    <row r="167" spans="3:17" x14ac:dyDescent="0.25">
      <c r="C167" s="159"/>
      <c r="D167" s="165" t="s">
        <v>485</v>
      </c>
      <c r="E167" s="161">
        <v>38883</v>
      </c>
      <c r="F167" s="172" t="str">
        <f t="shared" si="8"/>
        <v>2005-06</v>
      </c>
      <c r="G167" s="68"/>
      <c r="H167" s="167" t="s">
        <v>279</v>
      </c>
      <c r="I167" s="173">
        <v>89592.114709699614</v>
      </c>
      <c r="J167" s="168">
        <f>IFERROR(MIN('MP Calculations'!$E$30/I167,1),"-")</f>
        <v>0.31014580161562261</v>
      </c>
      <c r="K167" s="12"/>
      <c r="L167" s="159">
        <v>1</v>
      </c>
      <c r="M167" s="159" t="s">
        <v>409</v>
      </c>
      <c r="N167" s="159">
        <v>4307.4399999999996</v>
      </c>
      <c r="O167" s="185">
        <f t="shared" si="7"/>
        <v>4307.4399999999996</v>
      </c>
      <c r="P167" s="215">
        <f t="shared" si="9"/>
        <v>1335.9344317111972</v>
      </c>
      <c r="Q167" s="215" cm="1">
        <f t="array" ref="Q167">IF(P167="-",0,P167/(1+'General inputs'!$H$32)^IFERROR(INDEX('MP Calculations'!$C$40:$C$130,MATCH(F167,'MP Calculations'!$D$40:$D$130,0),0),-1))</f>
        <v>2688.6629689365809</v>
      </c>
    </row>
    <row r="168" spans="3:17" x14ac:dyDescent="0.25">
      <c r="C168" s="159"/>
      <c r="D168" s="165" t="s">
        <v>486</v>
      </c>
      <c r="E168" s="161">
        <v>38883</v>
      </c>
      <c r="F168" s="172" t="str">
        <f t="shared" si="8"/>
        <v>2005-06</v>
      </c>
      <c r="G168" s="68"/>
      <c r="H168" s="167" t="s">
        <v>279</v>
      </c>
      <c r="I168" s="173">
        <v>89592.114709699614</v>
      </c>
      <c r="J168" s="168">
        <f>IFERROR(MIN('MP Calculations'!$E$30/I168,1),"-")</f>
        <v>0.31014580161562261</v>
      </c>
      <c r="K168" s="12"/>
      <c r="L168" s="159">
        <v>1</v>
      </c>
      <c r="M168" s="159" t="s">
        <v>409</v>
      </c>
      <c r="N168" s="159">
        <v>508.6</v>
      </c>
      <c r="O168" s="185">
        <f t="shared" si="7"/>
        <v>508.6</v>
      </c>
      <c r="P168" s="215">
        <f t="shared" si="9"/>
        <v>157.74015470170568</v>
      </c>
      <c r="Q168" s="215" cm="1">
        <f t="array" ref="Q168">IF(P168="-",0,P168/(1+'General inputs'!$H$32)^IFERROR(INDEX('MP Calculations'!$C$40:$C$130,MATCH(F168,'MP Calculations'!$D$40:$D$130,0),0),-1))</f>
        <v>317.46326959891383</v>
      </c>
    </row>
    <row r="169" spans="3:17" x14ac:dyDescent="0.25">
      <c r="C169" s="159"/>
      <c r="D169" s="165" t="s">
        <v>487</v>
      </c>
      <c r="E169" s="161">
        <v>38883</v>
      </c>
      <c r="F169" s="172" t="str">
        <f t="shared" si="8"/>
        <v>2005-06</v>
      </c>
      <c r="G169" s="68"/>
      <c r="H169" s="167" t="s">
        <v>279</v>
      </c>
      <c r="I169" s="173">
        <v>89592.114709699614</v>
      </c>
      <c r="J169" s="168">
        <f>IFERROR(MIN('MP Calculations'!$E$30/I169,1),"-")</f>
        <v>0.31014580161562261</v>
      </c>
      <c r="K169" s="12"/>
      <c r="L169" s="159">
        <v>1</v>
      </c>
      <c r="M169" s="159" t="s">
        <v>409</v>
      </c>
      <c r="N169" s="159">
        <v>9475.19</v>
      </c>
      <c r="O169" s="185">
        <f t="shared" si="7"/>
        <v>9475.19</v>
      </c>
      <c r="P169" s="215">
        <f t="shared" si="9"/>
        <v>2938.6903980103311</v>
      </c>
      <c r="Q169" s="215" cm="1">
        <f t="array" ref="Q169">IF(P169="-",0,P169/(1+'General inputs'!$H$32)^IFERROR(INDEX('MP Calculations'!$C$40:$C$130,MATCH(F169,'MP Calculations'!$D$40:$D$130,0),0),-1))</f>
        <v>5914.3232352947934</v>
      </c>
    </row>
    <row r="170" spans="3:17" x14ac:dyDescent="0.25">
      <c r="C170" s="159"/>
      <c r="D170" s="165" t="s">
        <v>487</v>
      </c>
      <c r="E170" s="161">
        <v>38883</v>
      </c>
      <c r="F170" s="172" t="str">
        <f t="shared" si="8"/>
        <v>2005-06</v>
      </c>
      <c r="G170" s="68"/>
      <c r="H170" s="167" t="s">
        <v>279</v>
      </c>
      <c r="I170" s="173">
        <v>89592.114709699614</v>
      </c>
      <c r="J170" s="168">
        <f>IFERROR(MIN('MP Calculations'!$E$30/I170,1),"-")</f>
        <v>0.31014580161562261</v>
      </c>
      <c r="K170" s="12"/>
      <c r="L170" s="159">
        <v>1</v>
      </c>
      <c r="M170" s="159" t="s">
        <v>409</v>
      </c>
      <c r="N170" s="159">
        <v>19456.740000000002</v>
      </c>
      <c r="O170" s="185">
        <f t="shared" si="7"/>
        <v>19456.740000000002</v>
      </c>
      <c r="P170" s="215">
        <f t="shared" si="9"/>
        <v>6034.4262241267497</v>
      </c>
      <c r="Q170" s="215" cm="1">
        <f t="array" ref="Q170">IF(P170="-",0,P170/(1+'General inputs'!$H$32)^IFERROR(INDEX('MP Calculations'!$C$40:$C$130,MATCH(F170,'MP Calculations'!$D$40:$D$130,0),0),-1))</f>
        <v>12144.711553550866</v>
      </c>
    </row>
    <row r="171" spans="3:17" x14ac:dyDescent="0.25">
      <c r="C171" s="159"/>
      <c r="D171" s="165" t="s">
        <v>487</v>
      </c>
      <c r="E171" s="161">
        <v>38883</v>
      </c>
      <c r="F171" s="172" t="str">
        <f t="shared" si="8"/>
        <v>2005-06</v>
      </c>
      <c r="G171" s="68"/>
      <c r="H171" s="167" t="s">
        <v>279</v>
      </c>
      <c r="I171" s="173">
        <v>89592.114709699614</v>
      </c>
      <c r="J171" s="168">
        <f>IFERROR(MIN('MP Calculations'!$E$30/I171,1),"-")</f>
        <v>0.31014580161562261</v>
      </c>
      <c r="K171" s="12"/>
      <c r="L171" s="159">
        <v>1</v>
      </c>
      <c r="M171" s="159" t="s">
        <v>409</v>
      </c>
      <c r="N171" s="159">
        <v>1457.37</v>
      </c>
      <c r="O171" s="185">
        <f t="shared" si="7"/>
        <v>1457.37</v>
      </c>
      <c r="P171" s="215">
        <f t="shared" si="9"/>
        <v>451.99718690055988</v>
      </c>
      <c r="Q171" s="215" cm="1">
        <f t="array" ref="Q171">IF(P171="-",0,P171/(1+'General inputs'!$H$32)^IFERROR(INDEX('MP Calculations'!$C$40:$C$130,MATCH(F171,'MP Calculations'!$D$40:$D$130,0),0),-1))</f>
        <v>909.67645539789407</v>
      </c>
    </row>
    <row r="172" spans="3:17" x14ac:dyDescent="0.25">
      <c r="C172" s="159"/>
      <c r="D172" s="165" t="s">
        <v>488</v>
      </c>
      <c r="E172" s="161">
        <v>38883</v>
      </c>
      <c r="F172" s="172" t="str">
        <f t="shared" si="8"/>
        <v>2005-06</v>
      </c>
      <c r="G172" s="68"/>
      <c r="H172" s="167" t="s">
        <v>279</v>
      </c>
      <c r="I172" s="173">
        <v>89592.114709699614</v>
      </c>
      <c r="J172" s="168">
        <f>IFERROR(MIN('MP Calculations'!$E$30/I172,1),"-")</f>
        <v>0.31014580161562261</v>
      </c>
      <c r="K172" s="12"/>
      <c r="L172" s="159">
        <v>1</v>
      </c>
      <c r="M172" s="159" t="s">
        <v>409</v>
      </c>
      <c r="N172" s="159">
        <v>474.74</v>
      </c>
      <c r="O172" s="185">
        <f t="shared" si="7"/>
        <v>474.74</v>
      </c>
      <c r="P172" s="215">
        <f t="shared" si="9"/>
        <v>147.23861785900067</v>
      </c>
      <c r="Q172" s="215" cm="1">
        <f t="array" ref="Q172">IF(P172="-",0,P172/(1+'General inputs'!$H$32)^IFERROR(INDEX('MP Calculations'!$C$40:$C$130,MATCH(F172,'MP Calculations'!$D$40:$D$130,0),0),-1))</f>
        <v>296.3281805139369</v>
      </c>
    </row>
    <row r="173" spans="3:17" x14ac:dyDescent="0.25">
      <c r="C173" s="159"/>
      <c r="D173" s="165" t="s">
        <v>489</v>
      </c>
      <c r="E173" s="161">
        <v>38883</v>
      </c>
      <c r="F173" s="172" t="str">
        <f t="shared" si="8"/>
        <v>2005-06</v>
      </c>
      <c r="G173" s="68"/>
      <c r="H173" s="167" t="s">
        <v>279</v>
      </c>
      <c r="I173" s="173">
        <v>89592.114709699614</v>
      </c>
      <c r="J173" s="168">
        <f>IFERROR(MIN('MP Calculations'!$E$30/I173,1),"-")</f>
        <v>0.31014580161562261</v>
      </c>
      <c r="K173" s="12"/>
      <c r="L173" s="159">
        <v>1</v>
      </c>
      <c r="M173" s="159" t="s">
        <v>409</v>
      </c>
      <c r="N173" s="159">
        <v>474.74</v>
      </c>
      <c r="O173" s="185">
        <f t="shared" si="7"/>
        <v>474.74</v>
      </c>
      <c r="P173" s="215">
        <f t="shared" si="9"/>
        <v>147.23861785900067</v>
      </c>
      <c r="Q173" s="215" cm="1">
        <f t="array" ref="Q173">IF(P173="-",0,P173/(1+'General inputs'!$H$32)^IFERROR(INDEX('MP Calculations'!$C$40:$C$130,MATCH(F173,'MP Calculations'!$D$40:$D$130,0),0),-1))</f>
        <v>296.3281805139369</v>
      </c>
    </row>
    <row r="174" spans="3:17" x14ac:dyDescent="0.25">
      <c r="C174" s="159"/>
      <c r="D174" s="165" t="s">
        <v>490</v>
      </c>
      <c r="E174" s="161">
        <v>38883</v>
      </c>
      <c r="F174" s="172" t="str">
        <f t="shared" si="8"/>
        <v>2005-06</v>
      </c>
      <c r="G174" s="68"/>
      <c r="H174" s="167" t="s">
        <v>279</v>
      </c>
      <c r="I174" s="173">
        <v>89592.114709699614</v>
      </c>
      <c r="J174" s="168">
        <f>IFERROR(MIN('MP Calculations'!$E$30/I174,1),"-")</f>
        <v>0.31014580161562261</v>
      </c>
      <c r="K174" s="12"/>
      <c r="L174" s="159">
        <v>1</v>
      </c>
      <c r="M174" s="159" t="s">
        <v>409</v>
      </c>
      <c r="N174" s="159">
        <v>25036.74</v>
      </c>
      <c r="O174" s="185">
        <f t="shared" si="7"/>
        <v>25036.74</v>
      </c>
      <c r="P174" s="215">
        <f t="shared" si="9"/>
        <v>7765.0397971419234</v>
      </c>
      <c r="Q174" s="215" cm="1">
        <f t="array" ref="Q174">IF(P174="-",0,P174/(1+'General inputs'!$H$32)^IFERROR(INDEX('MP Calculations'!$C$40:$C$130,MATCH(F174,'MP Calculations'!$D$40:$D$130,0),0),-1))</f>
        <v>15627.694338375755</v>
      </c>
    </row>
    <row r="175" spans="3:17" x14ac:dyDescent="0.25">
      <c r="C175" s="159"/>
      <c r="D175" s="165" t="s">
        <v>491</v>
      </c>
      <c r="E175" s="161">
        <v>38883</v>
      </c>
      <c r="F175" s="172" t="str">
        <f t="shared" si="8"/>
        <v>2005-06</v>
      </c>
      <c r="G175" s="68"/>
      <c r="H175" s="167" t="s">
        <v>279</v>
      </c>
      <c r="I175" s="173">
        <v>89592.114709699614</v>
      </c>
      <c r="J175" s="168">
        <f>IFERROR(MIN('MP Calculations'!$E$30/I175,1),"-")</f>
        <v>0.31014580161562261</v>
      </c>
      <c r="K175" s="12"/>
      <c r="L175" s="159">
        <v>1</v>
      </c>
      <c r="M175" s="159" t="s">
        <v>409</v>
      </c>
      <c r="N175" s="159">
        <v>515.12</v>
      </c>
      <c r="O175" s="185">
        <f t="shared" si="7"/>
        <v>515.12</v>
      </c>
      <c r="P175" s="215">
        <f t="shared" si="9"/>
        <v>159.76230532823951</v>
      </c>
      <c r="Q175" s="215" cm="1">
        <f t="array" ref="Q175">IF(P175="-",0,P175/(1+'General inputs'!$H$32)^IFERROR(INDEX('MP Calculations'!$C$40:$C$130,MATCH(F175,'MP Calculations'!$D$40:$D$130,0),0),-1))</f>
        <v>321.53299141917512</v>
      </c>
    </row>
    <row r="176" spans="3:17" x14ac:dyDescent="0.25">
      <c r="C176" s="159"/>
      <c r="D176" s="165" t="s">
        <v>492</v>
      </c>
      <c r="E176" s="161">
        <v>38883</v>
      </c>
      <c r="F176" s="172" t="str">
        <f t="shared" si="8"/>
        <v>2005-06</v>
      </c>
      <c r="G176" s="68"/>
      <c r="H176" s="167" t="s">
        <v>279</v>
      </c>
      <c r="I176" s="173">
        <v>89592.114709699614</v>
      </c>
      <c r="J176" s="168">
        <f>IFERROR(MIN('MP Calculations'!$E$30/I176,1),"-")</f>
        <v>0.31014580161562261</v>
      </c>
      <c r="K176" s="12"/>
      <c r="L176" s="159">
        <v>1</v>
      </c>
      <c r="M176" s="159" t="s">
        <v>409</v>
      </c>
      <c r="N176" s="159">
        <v>449.87</v>
      </c>
      <c r="O176" s="185">
        <f t="shared" si="7"/>
        <v>449.87</v>
      </c>
      <c r="P176" s="215">
        <f t="shared" si="9"/>
        <v>139.52529177282014</v>
      </c>
      <c r="Q176" s="215" cm="1">
        <f t="array" ref="Q176">IF(P176="-",0,P176/(1+'General inputs'!$H$32)^IFERROR(INDEX('MP Calculations'!$C$40:$C$130,MATCH(F176,'MP Calculations'!$D$40:$D$130,0),0),-1))</f>
        <v>280.80456369340021</v>
      </c>
    </row>
    <row r="177" spans="3:17" x14ac:dyDescent="0.25">
      <c r="C177" s="159"/>
      <c r="D177" s="165" t="s">
        <v>493</v>
      </c>
      <c r="E177" s="161">
        <v>38883</v>
      </c>
      <c r="F177" s="172" t="str">
        <f t="shared" si="8"/>
        <v>2005-06</v>
      </c>
      <c r="G177" s="68"/>
      <c r="H177" s="167" t="s">
        <v>279</v>
      </c>
      <c r="I177" s="173">
        <v>89592.114709699614</v>
      </c>
      <c r="J177" s="168">
        <f>IFERROR(MIN('MP Calculations'!$E$30/I177,1),"-")</f>
        <v>0.31014580161562261</v>
      </c>
      <c r="K177" s="12"/>
      <c r="L177" s="159">
        <v>1</v>
      </c>
      <c r="M177" s="159" t="s">
        <v>409</v>
      </c>
      <c r="N177" s="159">
        <v>4467.4399999999996</v>
      </c>
      <c r="O177" s="185">
        <f t="shared" si="7"/>
        <v>4467.4399999999996</v>
      </c>
      <c r="P177" s="215">
        <f t="shared" si="9"/>
        <v>1385.5577599696969</v>
      </c>
      <c r="Q177" s="215" cm="1">
        <f t="array" ref="Q177">IF(P177="-",0,P177/(1+'General inputs'!$H$32)^IFERROR(INDEX('MP Calculations'!$C$40:$C$130,MATCH(F177,'MP Calculations'!$D$40:$D$130,0),0),-1))</f>
        <v>2788.5334430534235</v>
      </c>
    </row>
    <row r="178" spans="3:17" x14ac:dyDescent="0.25">
      <c r="C178" s="159"/>
      <c r="D178" s="165" t="s">
        <v>494</v>
      </c>
      <c r="E178" s="161">
        <v>38883</v>
      </c>
      <c r="F178" s="172" t="str">
        <f t="shared" si="8"/>
        <v>2005-06</v>
      </c>
      <c r="G178" s="68"/>
      <c r="H178" s="167" t="s">
        <v>279</v>
      </c>
      <c r="I178" s="173">
        <v>89592.114709699614</v>
      </c>
      <c r="J178" s="168">
        <f>IFERROR(MIN('MP Calculations'!$E$30/I178,1),"-")</f>
        <v>0.31014580161562261</v>
      </c>
      <c r="K178" s="12"/>
      <c r="L178" s="159">
        <v>1</v>
      </c>
      <c r="M178" s="159" t="s">
        <v>409</v>
      </c>
      <c r="N178" s="159">
        <v>557.27</v>
      </c>
      <c r="O178" s="185">
        <f t="shared" si="7"/>
        <v>557.27</v>
      </c>
      <c r="P178" s="215">
        <f t="shared" si="9"/>
        <v>172.834950866338</v>
      </c>
      <c r="Q178" s="215" cm="1">
        <f t="array" ref="Q178">IF(P178="-",0,P178/(1+'General inputs'!$H$32)^IFERROR(INDEX('MP Calculations'!$C$40:$C$130,MATCH(F178,'MP Calculations'!$D$40:$D$130,0),0),-1))</f>
        <v>347.84261944433086</v>
      </c>
    </row>
    <row r="179" spans="3:17" x14ac:dyDescent="0.25">
      <c r="C179" s="159"/>
      <c r="D179" s="165" t="s">
        <v>495</v>
      </c>
      <c r="E179" s="161">
        <v>38883</v>
      </c>
      <c r="F179" s="172" t="str">
        <f t="shared" si="8"/>
        <v>2005-06</v>
      </c>
      <c r="G179" s="68"/>
      <c r="H179" s="167" t="s">
        <v>279</v>
      </c>
      <c r="I179" s="173">
        <v>89592.114709699614</v>
      </c>
      <c r="J179" s="168">
        <f>IFERROR(MIN('MP Calculations'!$E$30/I179,1),"-")</f>
        <v>0.31014580161562261</v>
      </c>
      <c r="K179" s="12"/>
      <c r="L179" s="159">
        <v>1</v>
      </c>
      <c r="M179" s="159" t="s">
        <v>409</v>
      </c>
      <c r="N179" s="159">
        <v>2417</v>
      </c>
      <c r="O179" s="185">
        <f t="shared" si="7"/>
        <v>2417</v>
      </c>
      <c r="P179" s="215">
        <f t="shared" si="9"/>
        <v>749.62240250495984</v>
      </c>
      <c r="Q179" s="215" cm="1">
        <f t="array" ref="Q179">IF(P179="-",0,P179/(1+'General inputs'!$H$32)^IFERROR(INDEX('MP Calculations'!$C$40:$C$130,MATCH(F179,'MP Calculations'!$D$40:$D$130,0),0),-1))</f>
        <v>1508.6683496275552</v>
      </c>
    </row>
    <row r="180" spans="3:17" x14ac:dyDescent="0.25">
      <c r="C180" s="159"/>
      <c r="D180" s="165" t="s">
        <v>496</v>
      </c>
      <c r="E180" s="161">
        <v>38883</v>
      </c>
      <c r="F180" s="172" t="str">
        <f t="shared" si="8"/>
        <v>2005-06</v>
      </c>
      <c r="G180" s="68"/>
      <c r="H180" s="167" t="s">
        <v>279</v>
      </c>
      <c r="I180" s="173">
        <v>89592.114709699614</v>
      </c>
      <c r="J180" s="168">
        <f>IFERROR(MIN('MP Calculations'!$E$30/I180,1),"-")</f>
        <v>0.31014580161562261</v>
      </c>
      <c r="K180" s="12"/>
      <c r="L180" s="159">
        <v>1</v>
      </c>
      <c r="M180" s="159" t="s">
        <v>409</v>
      </c>
      <c r="N180" s="159">
        <v>53483.58</v>
      </c>
      <c r="O180" s="185">
        <f t="shared" si="7"/>
        <v>53483.58</v>
      </c>
      <c r="P180" s="215">
        <f t="shared" si="9"/>
        <v>16587.707792373283</v>
      </c>
      <c r="Q180" s="215" cm="1">
        <f t="array" ref="Q180">IF(P180="-",0,P180/(1+'General inputs'!$H$32)^IFERROR(INDEX('MP Calculations'!$C$40:$C$130,MATCH(F180,'MP Calculations'!$D$40:$D$130,0),0),-1))</f>
        <v>33383.940575413049</v>
      </c>
    </row>
    <row r="181" spans="3:17" x14ac:dyDescent="0.25">
      <c r="C181" s="159"/>
      <c r="D181" s="165" t="s">
        <v>497</v>
      </c>
      <c r="E181" s="161">
        <v>38883</v>
      </c>
      <c r="F181" s="172" t="str">
        <f t="shared" si="8"/>
        <v>2005-06</v>
      </c>
      <c r="G181" s="68"/>
      <c r="H181" s="167" t="s">
        <v>279</v>
      </c>
      <c r="I181" s="173">
        <v>89592.114709699614</v>
      </c>
      <c r="J181" s="168">
        <f>IFERROR(MIN('MP Calculations'!$E$30/I181,1),"-")</f>
        <v>0.31014580161562261</v>
      </c>
      <c r="K181" s="12"/>
      <c r="L181" s="159">
        <v>1</v>
      </c>
      <c r="M181" s="159" t="s">
        <v>409</v>
      </c>
      <c r="N181" s="159">
        <v>557.28</v>
      </c>
      <c r="O181" s="185">
        <f t="shared" si="7"/>
        <v>557.28</v>
      </c>
      <c r="P181" s="215">
        <f t="shared" si="9"/>
        <v>172.83805232435415</v>
      </c>
      <c r="Q181" s="215" cm="1">
        <f t="array" ref="Q181">IF(P181="-",0,P181/(1+'General inputs'!$H$32)^IFERROR(INDEX('MP Calculations'!$C$40:$C$130,MATCH(F181,'MP Calculations'!$D$40:$D$130,0),0),-1))</f>
        <v>347.84886134896317</v>
      </c>
    </row>
    <row r="182" spans="3:17" x14ac:dyDescent="0.25">
      <c r="C182" s="159"/>
      <c r="D182" s="165" t="s">
        <v>498</v>
      </c>
      <c r="E182" s="161">
        <v>38883</v>
      </c>
      <c r="F182" s="172" t="str">
        <f t="shared" si="8"/>
        <v>2005-06</v>
      </c>
      <c r="G182" s="68"/>
      <c r="H182" s="167" t="s">
        <v>279</v>
      </c>
      <c r="I182" s="173">
        <v>89592.114709699614</v>
      </c>
      <c r="J182" s="168">
        <f>IFERROR(MIN('MP Calculations'!$E$30/I182,1),"-")</f>
        <v>0.31014580161562261</v>
      </c>
      <c r="K182" s="12"/>
      <c r="L182" s="159">
        <v>1</v>
      </c>
      <c r="M182" s="159" t="s">
        <v>409</v>
      </c>
      <c r="N182" s="159">
        <v>518.07000000000005</v>
      </c>
      <c r="O182" s="185">
        <f t="shared" si="7"/>
        <v>518.07000000000005</v>
      </c>
      <c r="P182" s="215">
        <f t="shared" si="9"/>
        <v>160.67723544300563</v>
      </c>
      <c r="Q182" s="215" cm="1">
        <f t="array" ref="Q182">IF(P182="-",0,P182/(1+'General inputs'!$H$32)^IFERROR(INDEX('MP Calculations'!$C$40:$C$130,MATCH(F182,'MP Calculations'!$D$40:$D$130,0),0),-1))</f>
        <v>323.37435328570444</v>
      </c>
    </row>
    <row r="183" spans="3:17" x14ac:dyDescent="0.25">
      <c r="C183" s="159"/>
      <c r="D183" s="165" t="s">
        <v>499</v>
      </c>
      <c r="E183" s="161">
        <v>38883</v>
      </c>
      <c r="F183" s="172" t="str">
        <f t="shared" si="8"/>
        <v>2005-06</v>
      </c>
      <c r="G183" s="68"/>
      <c r="H183" s="167" t="s">
        <v>279</v>
      </c>
      <c r="I183" s="173">
        <v>89592.114709699614</v>
      </c>
      <c r="J183" s="168">
        <f>IFERROR(MIN('MP Calculations'!$E$30/I183,1),"-")</f>
        <v>0.31014580161562261</v>
      </c>
      <c r="K183" s="12"/>
      <c r="L183" s="159">
        <v>1</v>
      </c>
      <c r="M183" s="159" t="s">
        <v>409</v>
      </c>
      <c r="N183" s="159">
        <v>508.56</v>
      </c>
      <c r="O183" s="185">
        <f t="shared" si="7"/>
        <v>508.56</v>
      </c>
      <c r="P183" s="215">
        <f t="shared" si="9"/>
        <v>157.72774886964103</v>
      </c>
      <c r="Q183" s="215" cm="1">
        <f t="array" ref="Q183">IF(P183="-",0,P183/(1+'General inputs'!$H$32)^IFERROR(INDEX('MP Calculations'!$C$40:$C$130,MATCH(F183,'MP Calculations'!$D$40:$D$130,0),0),-1))</f>
        <v>317.43830198038455</v>
      </c>
    </row>
    <row r="184" spans="3:17" x14ac:dyDescent="0.25">
      <c r="C184" s="159"/>
      <c r="D184" s="165" t="s">
        <v>500</v>
      </c>
      <c r="E184" s="161">
        <v>38883</v>
      </c>
      <c r="F184" s="172" t="str">
        <f t="shared" si="8"/>
        <v>2005-06</v>
      </c>
      <c r="G184" s="68"/>
      <c r="H184" s="167" t="s">
        <v>279</v>
      </c>
      <c r="I184" s="173">
        <v>89592.114709699614</v>
      </c>
      <c r="J184" s="168">
        <f>IFERROR(MIN('MP Calculations'!$E$30/I184,1),"-")</f>
        <v>0.31014580161562261</v>
      </c>
      <c r="K184" s="12"/>
      <c r="L184" s="159">
        <v>1</v>
      </c>
      <c r="M184" s="159" t="s">
        <v>409</v>
      </c>
      <c r="N184" s="159">
        <v>4364.92</v>
      </c>
      <c r="O184" s="185">
        <f t="shared" si="7"/>
        <v>4364.92</v>
      </c>
      <c r="P184" s="215">
        <f t="shared" si="9"/>
        <v>1353.7616123880634</v>
      </c>
      <c r="Q184" s="215" cm="1">
        <f t="array" ref="Q184">IF(P184="-",0,P184/(1+'General inputs'!$H$32)^IFERROR(INDEX('MP Calculations'!$C$40:$C$130,MATCH(F184,'MP Calculations'!$D$40:$D$130,0),0),-1))</f>
        <v>2724.5414367630569</v>
      </c>
    </row>
    <row r="185" spans="3:17" x14ac:dyDescent="0.25">
      <c r="C185" s="159"/>
      <c r="D185" s="165" t="s">
        <v>501</v>
      </c>
      <c r="E185" s="161">
        <v>38883</v>
      </c>
      <c r="F185" s="172" t="str">
        <f t="shared" si="8"/>
        <v>2005-06</v>
      </c>
      <c r="G185" s="68"/>
      <c r="H185" s="167" t="s">
        <v>279</v>
      </c>
      <c r="I185" s="173">
        <v>89592.114709699614</v>
      </c>
      <c r="J185" s="168">
        <f>IFERROR(MIN('MP Calculations'!$E$30/I185,1),"-")</f>
        <v>0.31014580161562261</v>
      </c>
      <c r="K185" s="12"/>
      <c r="L185" s="159">
        <v>1</v>
      </c>
      <c r="M185" s="159" t="s">
        <v>409</v>
      </c>
      <c r="N185" s="159">
        <v>636.44000000000005</v>
      </c>
      <c r="O185" s="185">
        <f t="shared" si="7"/>
        <v>636.44000000000005</v>
      </c>
      <c r="P185" s="215">
        <f t="shared" si="9"/>
        <v>197.38919398024686</v>
      </c>
      <c r="Q185" s="215" cm="1">
        <f t="array" ref="Q185">IF(P185="-",0,P185/(1+'General inputs'!$H$32)^IFERROR(INDEX('MP Calculations'!$C$40:$C$130,MATCH(F185,'MP Calculations'!$D$40:$D$130,0),0),-1))</f>
        <v>397.25977841827114</v>
      </c>
    </row>
    <row r="186" spans="3:17" x14ac:dyDescent="0.25">
      <c r="C186" s="159"/>
      <c r="D186" s="165" t="s">
        <v>502</v>
      </c>
      <c r="E186" s="161">
        <v>38883</v>
      </c>
      <c r="F186" s="172" t="str">
        <f t="shared" si="8"/>
        <v>2005-06</v>
      </c>
      <c r="G186" s="68"/>
      <c r="H186" s="167" t="s">
        <v>279</v>
      </c>
      <c r="I186" s="173">
        <v>89592.114709699614</v>
      </c>
      <c r="J186" s="168">
        <f>IFERROR(MIN('MP Calculations'!$E$30/I186,1),"-")</f>
        <v>0.31014580161562261</v>
      </c>
      <c r="K186" s="12"/>
      <c r="L186" s="159">
        <v>1</v>
      </c>
      <c r="M186" s="159" t="s">
        <v>409</v>
      </c>
      <c r="N186" s="159">
        <v>1652.08</v>
      </c>
      <c r="O186" s="185">
        <f t="shared" si="7"/>
        <v>1652.08</v>
      </c>
      <c r="P186" s="215">
        <f t="shared" si="9"/>
        <v>512.3856759331378</v>
      </c>
      <c r="Q186" s="215" cm="1">
        <f t="array" ref="Q186">IF(P186="-",0,P186/(1+'General inputs'!$H$32)^IFERROR(INDEX('MP Calculations'!$C$40:$C$130,MATCH(F186,'MP Calculations'!$D$40:$D$130,0),0),-1))</f>
        <v>1031.2125804934594</v>
      </c>
    </row>
    <row r="187" spans="3:17" x14ac:dyDescent="0.25">
      <c r="C187" s="159"/>
      <c r="D187" s="165" t="s">
        <v>503</v>
      </c>
      <c r="E187" s="161">
        <v>38883</v>
      </c>
      <c r="F187" s="172" t="str">
        <f t="shared" si="8"/>
        <v>2005-06</v>
      </c>
      <c r="G187" s="68"/>
      <c r="H187" s="167" t="s">
        <v>279</v>
      </c>
      <c r="I187" s="173">
        <v>89592.114709699614</v>
      </c>
      <c r="J187" s="168">
        <f>IFERROR(MIN('MP Calculations'!$E$30/I187,1),"-")</f>
        <v>0.31014580161562261</v>
      </c>
      <c r="K187" s="12"/>
      <c r="L187" s="159">
        <v>1</v>
      </c>
      <c r="M187" s="159" t="s">
        <v>409</v>
      </c>
      <c r="N187" s="159">
        <v>508.64</v>
      </c>
      <c r="O187" s="185">
        <f t="shared" si="7"/>
        <v>508.64</v>
      </c>
      <c r="P187" s="215">
        <f t="shared" si="9"/>
        <v>157.75256053377029</v>
      </c>
      <c r="Q187" s="215" cm="1">
        <f t="array" ref="Q187">IF(P187="-",0,P187/(1+'General inputs'!$H$32)^IFERROR(INDEX('MP Calculations'!$C$40:$C$130,MATCH(F187,'MP Calculations'!$D$40:$D$130,0),0),-1))</f>
        <v>317.48823721744299</v>
      </c>
    </row>
    <row r="188" spans="3:17" x14ac:dyDescent="0.25">
      <c r="C188" s="159"/>
      <c r="D188" s="165" t="s">
        <v>504</v>
      </c>
      <c r="E188" s="161">
        <v>38883</v>
      </c>
      <c r="F188" s="172" t="str">
        <f t="shared" si="8"/>
        <v>2005-06</v>
      </c>
      <c r="G188" s="68"/>
      <c r="H188" s="167" t="s">
        <v>279</v>
      </c>
      <c r="I188" s="173">
        <v>89592.114709699614</v>
      </c>
      <c r="J188" s="168">
        <f>IFERROR(MIN('MP Calculations'!$E$30/I188,1),"-")</f>
        <v>0.31014580161562261</v>
      </c>
      <c r="K188" s="12"/>
      <c r="L188" s="159">
        <v>1</v>
      </c>
      <c r="M188" s="159" t="s">
        <v>409</v>
      </c>
      <c r="N188" s="159">
        <v>508.8</v>
      </c>
      <c r="O188" s="185">
        <f t="shared" si="7"/>
        <v>508.8</v>
      </c>
      <c r="P188" s="215">
        <f t="shared" si="9"/>
        <v>157.80218386202878</v>
      </c>
      <c r="Q188" s="215" cm="1">
        <f t="array" ref="Q188">IF(P188="-",0,P188/(1+'General inputs'!$H$32)^IFERROR(INDEX('MP Calculations'!$C$40:$C$130,MATCH(F188,'MP Calculations'!$D$40:$D$130,0),0),-1))</f>
        <v>317.58810769155986</v>
      </c>
    </row>
    <row r="189" spans="3:17" x14ac:dyDescent="0.25">
      <c r="C189" s="159"/>
      <c r="D189" s="165" t="s">
        <v>505</v>
      </c>
      <c r="E189" s="161">
        <v>38883</v>
      </c>
      <c r="F189" s="172" t="str">
        <f t="shared" si="8"/>
        <v>2005-06</v>
      </c>
      <c r="G189" s="68"/>
      <c r="H189" s="167" t="s">
        <v>279</v>
      </c>
      <c r="I189" s="173">
        <v>89592.114709699614</v>
      </c>
      <c r="J189" s="168">
        <f>IFERROR(MIN('MP Calculations'!$E$30/I189,1),"-")</f>
        <v>0.31014580161562261</v>
      </c>
      <c r="K189" s="12"/>
      <c r="L189" s="159">
        <v>1</v>
      </c>
      <c r="M189" s="159" t="s">
        <v>409</v>
      </c>
      <c r="N189" s="159">
        <v>33117.14</v>
      </c>
      <c r="O189" s="185">
        <f t="shared" si="7"/>
        <v>33117.14</v>
      </c>
      <c r="P189" s="215">
        <f t="shared" si="9"/>
        <v>10271.141932516799</v>
      </c>
      <c r="Q189" s="215" cm="1">
        <f t="array" ref="Q189">IF(P189="-",0,P189/(1+'General inputs'!$H$32)^IFERROR(INDEX('MP Calculations'!$C$40:$C$130,MATCH(F189,'MP Calculations'!$D$40:$D$130,0),0),-1))</f>
        <v>20671.4029574616</v>
      </c>
    </row>
    <row r="190" spans="3:17" x14ac:dyDescent="0.25">
      <c r="C190" s="159"/>
      <c r="D190" s="165" t="s">
        <v>506</v>
      </c>
      <c r="E190" s="161">
        <v>38883</v>
      </c>
      <c r="F190" s="172" t="str">
        <f t="shared" si="8"/>
        <v>2005-06</v>
      </c>
      <c r="G190" s="68"/>
      <c r="H190" s="167" t="s">
        <v>279</v>
      </c>
      <c r="I190" s="173">
        <v>89592.114709699614</v>
      </c>
      <c r="J190" s="168">
        <f>IFERROR(MIN('MP Calculations'!$E$30/I190,1),"-")</f>
        <v>0.31014580161562261</v>
      </c>
      <c r="K190" s="12"/>
      <c r="L190" s="159">
        <v>1</v>
      </c>
      <c r="M190" s="159" t="s">
        <v>409</v>
      </c>
      <c r="N190" s="159">
        <v>69956.31</v>
      </c>
      <c r="O190" s="185">
        <f t="shared" si="7"/>
        <v>69956.31</v>
      </c>
      <c r="P190" s="215">
        <f t="shared" si="9"/>
        <v>21696.655843020995</v>
      </c>
      <c r="Q190" s="215" cm="1">
        <f t="array" ref="Q190">IF(P190="-",0,P190/(1+'General inputs'!$H$32)^IFERROR(INDEX('MP Calculations'!$C$40:$C$130,MATCH(F190,'MP Calculations'!$D$40:$D$130,0),0),-1))</f>
        <v>43666.061544780154</v>
      </c>
    </row>
    <row r="191" spans="3:17" x14ac:dyDescent="0.25">
      <c r="C191" s="159"/>
      <c r="D191" s="165" t="s">
        <v>507</v>
      </c>
      <c r="E191" s="161">
        <v>38883</v>
      </c>
      <c r="F191" s="172" t="str">
        <f t="shared" si="8"/>
        <v>2005-06</v>
      </c>
      <c r="G191" s="68"/>
      <c r="H191" s="167" t="s">
        <v>279</v>
      </c>
      <c r="I191" s="173">
        <v>89592.114709699614</v>
      </c>
      <c r="J191" s="168">
        <f>IFERROR(MIN('MP Calculations'!$E$30/I191,1),"-")</f>
        <v>0.31014580161562261</v>
      </c>
      <c r="K191" s="12"/>
      <c r="L191" s="159">
        <v>1</v>
      </c>
      <c r="M191" s="159" t="s">
        <v>409</v>
      </c>
      <c r="N191" s="159">
        <v>56847.99</v>
      </c>
      <c r="O191" s="185">
        <f t="shared" si="7"/>
        <v>56847.99</v>
      </c>
      <c r="P191" s="215">
        <f t="shared" si="9"/>
        <v>17631.165428786899</v>
      </c>
      <c r="Q191" s="215" cm="1">
        <f t="array" ref="Q191">IF(P191="-",0,P191/(1+'General inputs'!$H$32)^IFERROR(INDEX('MP Calculations'!$C$40:$C$130,MATCH(F191,'MP Calculations'!$D$40:$D$130,0),0),-1))</f>
        <v>35483.973211809585</v>
      </c>
    </row>
    <row r="192" spans="3:17" x14ac:dyDescent="0.25">
      <c r="C192" s="159"/>
      <c r="D192" s="165" t="s">
        <v>508</v>
      </c>
      <c r="E192" s="161">
        <v>38883</v>
      </c>
      <c r="F192" s="172" t="str">
        <f t="shared" si="8"/>
        <v>2005-06</v>
      </c>
      <c r="G192" s="68"/>
      <c r="H192" s="167" t="s">
        <v>279</v>
      </c>
      <c r="I192" s="173">
        <v>89592.114709699614</v>
      </c>
      <c r="J192" s="168">
        <f>IFERROR(MIN('MP Calculations'!$E$30/I192,1),"-")</f>
        <v>0.31014580161562261</v>
      </c>
      <c r="K192" s="12"/>
      <c r="L192" s="159">
        <v>1</v>
      </c>
      <c r="M192" s="159" t="s">
        <v>409</v>
      </c>
      <c r="N192" s="159">
        <v>105649.54</v>
      </c>
      <c r="O192" s="185">
        <f t="shared" si="7"/>
        <v>105649.54</v>
      </c>
      <c r="P192" s="215">
        <f t="shared" si="9"/>
        <v>32766.761273621782</v>
      </c>
      <c r="Q192" s="215" cm="1">
        <f t="array" ref="Q192">IF(P192="-",0,P192/(1+'General inputs'!$H$32)^IFERROR(INDEX('MP Calculations'!$C$40:$C$130,MATCH(F192,'MP Calculations'!$D$40:$D$130,0),0),-1))</f>
        <v>65945.435312664617</v>
      </c>
    </row>
    <row r="193" spans="3:17" x14ac:dyDescent="0.25">
      <c r="C193" s="159"/>
      <c r="D193" s="165" t="s">
        <v>509</v>
      </c>
      <c r="E193" s="161">
        <v>38883</v>
      </c>
      <c r="F193" s="172" t="str">
        <f t="shared" si="8"/>
        <v>2005-06</v>
      </c>
      <c r="G193" s="68"/>
      <c r="H193" s="167" t="s">
        <v>279</v>
      </c>
      <c r="I193" s="173">
        <v>89592.114709699614</v>
      </c>
      <c r="J193" s="168">
        <f>IFERROR(MIN('MP Calculations'!$E$30/I193,1),"-")</f>
        <v>0.31014580161562261</v>
      </c>
      <c r="K193" s="12"/>
      <c r="L193" s="159">
        <v>1</v>
      </c>
      <c r="M193" s="159" t="s">
        <v>409</v>
      </c>
      <c r="N193" s="159">
        <v>1428.36</v>
      </c>
      <c r="O193" s="185">
        <f t="shared" ref="O193:O256" si="10">IF(N193="","-",L193*N193)</f>
        <v>1428.36</v>
      </c>
      <c r="P193" s="215">
        <f t="shared" si="9"/>
        <v>442.99985719569065</v>
      </c>
      <c r="Q193" s="215" cm="1">
        <f t="array" ref="Q193">IF(P193="-",0,P193/(1+'General inputs'!$H$32)^IFERROR(INDEX('MP Calculations'!$C$40:$C$130,MATCH(F193,'MP Calculations'!$D$40:$D$130,0),0),-1))</f>
        <v>891.56869005958401</v>
      </c>
    </row>
    <row r="194" spans="3:17" x14ac:dyDescent="0.25">
      <c r="C194" s="159"/>
      <c r="D194" s="165" t="s">
        <v>510</v>
      </c>
      <c r="E194" s="161">
        <v>38883</v>
      </c>
      <c r="F194" s="172" t="str">
        <f t="shared" si="8"/>
        <v>2005-06</v>
      </c>
      <c r="G194" s="68"/>
      <c r="H194" s="167" t="s">
        <v>279</v>
      </c>
      <c r="I194" s="173">
        <v>89592.114709699614</v>
      </c>
      <c r="J194" s="168">
        <f>IFERROR(MIN('MP Calculations'!$E$30/I194,1),"-")</f>
        <v>0.31014580161562261</v>
      </c>
      <c r="K194" s="12"/>
      <c r="L194" s="159">
        <v>1</v>
      </c>
      <c r="M194" s="159" t="s">
        <v>409</v>
      </c>
      <c r="N194" s="159">
        <v>1652.08</v>
      </c>
      <c r="O194" s="185">
        <f t="shared" si="10"/>
        <v>1652.08</v>
      </c>
      <c r="P194" s="215">
        <f t="shared" si="9"/>
        <v>512.3856759331378</v>
      </c>
      <c r="Q194" s="215" cm="1">
        <f t="array" ref="Q194">IF(P194="-",0,P194/(1+'General inputs'!$H$32)^IFERROR(INDEX('MP Calculations'!$C$40:$C$130,MATCH(F194,'MP Calculations'!$D$40:$D$130,0),0),-1))</f>
        <v>1031.2125804934594</v>
      </c>
    </row>
    <row r="195" spans="3:17" x14ac:dyDescent="0.25">
      <c r="C195" s="159"/>
      <c r="D195" s="165" t="s">
        <v>511</v>
      </c>
      <c r="E195" s="161">
        <v>38883</v>
      </c>
      <c r="F195" s="172" t="str">
        <f t="shared" si="8"/>
        <v>2005-06</v>
      </c>
      <c r="G195" s="68"/>
      <c r="H195" s="167" t="s">
        <v>279</v>
      </c>
      <c r="I195" s="173">
        <v>89592.114709699614</v>
      </c>
      <c r="J195" s="168">
        <f>IFERROR(MIN('MP Calculations'!$E$30/I195,1),"-")</f>
        <v>0.31014580161562261</v>
      </c>
      <c r="K195" s="12"/>
      <c r="L195" s="159">
        <v>1</v>
      </c>
      <c r="M195" s="159" t="s">
        <v>409</v>
      </c>
      <c r="N195" s="159">
        <v>508.56</v>
      </c>
      <c r="O195" s="185">
        <f t="shared" si="10"/>
        <v>508.56</v>
      </c>
      <c r="P195" s="215">
        <f t="shared" si="9"/>
        <v>157.72774886964103</v>
      </c>
      <c r="Q195" s="215" cm="1">
        <f t="array" ref="Q195">IF(P195="-",0,P195/(1+'General inputs'!$H$32)^IFERROR(INDEX('MP Calculations'!$C$40:$C$130,MATCH(F195,'MP Calculations'!$D$40:$D$130,0),0),-1))</f>
        <v>317.43830198038455</v>
      </c>
    </row>
    <row r="196" spans="3:17" x14ac:dyDescent="0.25">
      <c r="C196" s="159"/>
      <c r="D196" s="165" t="s">
        <v>512</v>
      </c>
      <c r="E196" s="161">
        <v>38883</v>
      </c>
      <c r="F196" s="172" t="str">
        <f t="shared" si="8"/>
        <v>2005-06</v>
      </c>
      <c r="G196" s="68"/>
      <c r="H196" s="167" t="s">
        <v>279</v>
      </c>
      <c r="I196" s="173">
        <v>89592.114709699614</v>
      </c>
      <c r="J196" s="168">
        <f>IFERROR(MIN('MP Calculations'!$E$30/I196,1),"-")</f>
        <v>0.31014580161562261</v>
      </c>
      <c r="K196" s="12"/>
      <c r="L196" s="159">
        <v>1</v>
      </c>
      <c r="M196" s="159" t="s">
        <v>409</v>
      </c>
      <c r="N196" s="159">
        <v>508.59</v>
      </c>
      <c r="O196" s="185">
        <f t="shared" si="10"/>
        <v>508.59</v>
      </c>
      <c r="P196" s="215">
        <f t="shared" si="9"/>
        <v>157.7370532436895</v>
      </c>
      <c r="Q196" s="215" cm="1">
        <f t="array" ref="Q196">IF(P196="-",0,P196/(1+'General inputs'!$H$32)^IFERROR(INDEX('MP Calculations'!$C$40:$C$130,MATCH(F196,'MP Calculations'!$D$40:$D$130,0),0),-1))</f>
        <v>317.45702769428146</v>
      </c>
    </row>
    <row r="197" spans="3:17" x14ac:dyDescent="0.25">
      <c r="C197" s="159"/>
      <c r="D197" s="165" t="s">
        <v>513</v>
      </c>
      <c r="E197" s="161">
        <v>38883</v>
      </c>
      <c r="F197" s="172" t="str">
        <f t="shared" si="8"/>
        <v>2005-06</v>
      </c>
      <c r="G197" s="68"/>
      <c r="H197" s="167" t="s">
        <v>279</v>
      </c>
      <c r="I197" s="173">
        <v>89592.114709699614</v>
      </c>
      <c r="J197" s="168">
        <f>IFERROR(MIN('MP Calculations'!$E$30/I197,1),"-")</f>
        <v>0.31014580161562261</v>
      </c>
      <c r="K197" s="12"/>
      <c r="L197" s="159">
        <v>1</v>
      </c>
      <c r="M197" s="159" t="s">
        <v>409</v>
      </c>
      <c r="N197" s="159">
        <v>508.42</v>
      </c>
      <c r="O197" s="185">
        <f t="shared" si="10"/>
        <v>508.42</v>
      </c>
      <c r="P197" s="215">
        <f t="shared" si="9"/>
        <v>157.68432845741486</v>
      </c>
      <c r="Q197" s="215" cm="1">
        <f t="array" ref="Q197">IF(P197="-",0,P197/(1+'General inputs'!$H$32)^IFERROR(INDEX('MP Calculations'!$C$40:$C$130,MATCH(F197,'MP Calculations'!$D$40:$D$130,0),0),-1))</f>
        <v>317.35091531553235</v>
      </c>
    </row>
    <row r="198" spans="3:17" x14ac:dyDescent="0.25">
      <c r="C198" s="159"/>
      <c r="D198" s="165" t="s">
        <v>514</v>
      </c>
      <c r="E198" s="161">
        <v>38883</v>
      </c>
      <c r="F198" s="172" t="str">
        <f t="shared" si="8"/>
        <v>2005-06</v>
      </c>
      <c r="G198" s="68"/>
      <c r="H198" s="167" t="s">
        <v>279</v>
      </c>
      <c r="I198" s="173">
        <v>89592.114709699614</v>
      </c>
      <c r="J198" s="168">
        <f>IFERROR(MIN('MP Calculations'!$E$30/I198,1),"-")</f>
        <v>0.31014580161562261</v>
      </c>
      <c r="K198" s="12"/>
      <c r="L198" s="159">
        <v>1</v>
      </c>
      <c r="M198" s="159" t="s">
        <v>409</v>
      </c>
      <c r="N198" s="159">
        <v>4380.71</v>
      </c>
      <c r="O198" s="185">
        <f t="shared" si="10"/>
        <v>4380.71</v>
      </c>
      <c r="P198" s="215">
        <f t="shared" si="9"/>
        <v>1358.6588145955741</v>
      </c>
      <c r="Q198" s="215" cm="1">
        <f t="array" ref="Q198">IF(P198="-",0,P198/(1+'General inputs'!$H$32)^IFERROR(INDEX('MP Calculations'!$C$40:$C$130,MATCH(F198,'MP Calculations'!$D$40:$D$130,0),0),-1))</f>
        <v>2734.3974041774627</v>
      </c>
    </row>
    <row r="199" spans="3:17" x14ac:dyDescent="0.25">
      <c r="C199" s="159"/>
      <c r="D199" s="165" t="s">
        <v>515</v>
      </c>
      <c r="E199" s="161">
        <v>38883</v>
      </c>
      <c r="F199" s="172" t="str">
        <f t="shared" si="8"/>
        <v>2005-06</v>
      </c>
      <c r="G199" s="68"/>
      <c r="H199" s="167" t="s">
        <v>279</v>
      </c>
      <c r="I199" s="173">
        <v>89592.114709699614</v>
      </c>
      <c r="J199" s="168">
        <f>IFERROR(MIN('MP Calculations'!$E$30/I199,1),"-")</f>
        <v>0.31014580161562261</v>
      </c>
      <c r="K199" s="12"/>
      <c r="L199" s="159">
        <v>1</v>
      </c>
      <c r="M199" s="159" t="s">
        <v>409</v>
      </c>
      <c r="N199" s="159">
        <v>636.51</v>
      </c>
      <c r="O199" s="185">
        <f t="shared" si="10"/>
        <v>636.51</v>
      </c>
      <c r="P199" s="215">
        <f t="shared" si="9"/>
        <v>197.41090418635994</v>
      </c>
      <c r="Q199" s="215" cm="1">
        <f t="array" ref="Q199">IF(P199="-",0,P199/(1+'General inputs'!$H$32)^IFERROR(INDEX('MP Calculations'!$C$40:$C$130,MATCH(F199,'MP Calculations'!$D$40:$D$130,0),0),-1))</f>
        <v>397.30347175069721</v>
      </c>
    </row>
    <row r="200" spans="3:17" x14ac:dyDescent="0.25">
      <c r="C200" s="159"/>
      <c r="D200" s="165" t="s">
        <v>516</v>
      </c>
      <c r="E200" s="161">
        <v>38883</v>
      </c>
      <c r="F200" s="172" t="str">
        <f t="shared" si="8"/>
        <v>2005-06</v>
      </c>
      <c r="G200" s="68"/>
      <c r="H200" s="167" t="s">
        <v>279</v>
      </c>
      <c r="I200" s="173">
        <v>89592.114709699614</v>
      </c>
      <c r="J200" s="168">
        <f>IFERROR(MIN('MP Calculations'!$E$30/I200,1),"-")</f>
        <v>0.31014580161562261</v>
      </c>
      <c r="K200" s="12"/>
      <c r="L200" s="159">
        <v>1</v>
      </c>
      <c r="M200" s="159" t="s">
        <v>409</v>
      </c>
      <c r="N200" s="159">
        <v>3124.99</v>
      </c>
      <c r="O200" s="185">
        <f t="shared" si="10"/>
        <v>3124.99</v>
      </c>
      <c r="P200" s="215">
        <f t="shared" si="9"/>
        <v>969.20252859080438</v>
      </c>
      <c r="Q200" s="215" cm="1">
        <f t="array" ref="Q200">IF(P200="-",0,P200/(1+'General inputs'!$H$32)^IFERROR(INDEX('MP Calculations'!$C$40:$C$130,MATCH(F200,'MP Calculations'!$D$40:$D$130,0),0),-1))</f>
        <v>1950.5889556899517</v>
      </c>
    </row>
    <row r="201" spans="3:17" x14ac:dyDescent="0.25">
      <c r="C201" s="159"/>
      <c r="D201" s="165" t="s">
        <v>517</v>
      </c>
      <c r="E201" s="161">
        <v>38883</v>
      </c>
      <c r="F201" s="172" t="str">
        <f t="shared" si="8"/>
        <v>2005-06</v>
      </c>
      <c r="G201" s="68"/>
      <c r="H201" s="167" t="s">
        <v>279</v>
      </c>
      <c r="I201" s="173">
        <v>89592.114709699614</v>
      </c>
      <c r="J201" s="168">
        <f>IFERROR(MIN('MP Calculations'!$E$30/I201,1),"-")</f>
        <v>0.31014580161562261</v>
      </c>
      <c r="K201" s="12"/>
      <c r="L201" s="159">
        <v>1</v>
      </c>
      <c r="M201" s="159" t="s">
        <v>409</v>
      </c>
      <c r="N201" s="159">
        <v>2706.89</v>
      </c>
      <c r="O201" s="185">
        <f t="shared" si="10"/>
        <v>2706.89</v>
      </c>
      <c r="P201" s="215">
        <f t="shared" si="9"/>
        <v>839.53056893531266</v>
      </c>
      <c r="Q201" s="215" cm="1">
        <f t="array" ref="Q201">IF(P201="-",0,P201/(1+'General inputs'!$H$32)^IFERROR(INDEX('MP Calculations'!$C$40:$C$130,MATCH(F201,'MP Calculations'!$D$40:$D$130,0),0),-1))</f>
        <v>1689.6149230133774</v>
      </c>
    </row>
    <row r="202" spans="3:17" x14ac:dyDescent="0.25">
      <c r="C202" s="159"/>
      <c r="D202" s="165" t="s">
        <v>518</v>
      </c>
      <c r="E202" s="161">
        <v>38883</v>
      </c>
      <c r="F202" s="172" t="str">
        <f t="shared" si="8"/>
        <v>2005-06</v>
      </c>
      <c r="G202" s="68"/>
      <c r="H202" s="167" t="s">
        <v>279</v>
      </c>
      <c r="I202" s="173">
        <v>89592.114709699614</v>
      </c>
      <c r="J202" s="168">
        <f>IFERROR(MIN('MP Calculations'!$E$30/I202,1),"-")</f>
        <v>0.31014580161562261</v>
      </c>
      <c r="K202" s="12"/>
      <c r="L202" s="159">
        <v>1</v>
      </c>
      <c r="M202" s="159" t="s">
        <v>409</v>
      </c>
      <c r="N202" s="159">
        <v>508.62</v>
      </c>
      <c r="O202" s="185">
        <f t="shared" si="10"/>
        <v>508.62</v>
      </c>
      <c r="P202" s="215">
        <f t="shared" si="9"/>
        <v>157.74635761773797</v>
      </c>
      <c r="Q202" s="215" cm="1">
        <f t="array" ref="Q202">IF(P202="-",0,P202/(1+'General inputs'!$H$32)^IFERROR(INDEX('MP Calculations'!$C$40:$C$130,MATCH(F202,'MP Calculations'!$D$40:$D$130,0),0),-1))</f>
        <v>317.47575340817838</v>
      </c>
    </row>
    <row r="203" spans="3:17" x14ac:dyDescent="0.25">
      <c r="C203" s="159"/>
      <c r="D203" s="165" t="s">
        <v>519</v>
      </c>
      <c r="E203" s="161">
        <v>38883</v>
      </c>
      <c r="F203" s="172" t="str">
        <f t="shared" si="8"/>
        <v>2005-06</v>
      </c>
      <c r="G203" s="68"/>
      <c r="H203" s="167" t="s">
        <v>279</v>
      </c>
      <c r="I203" s="173">
        <v>89592.114709699614</v>
      </c>
      <c r="J203" s="168">
        <f>IFERROR(MIN('MP Calculations'!$E$30/I203,1),"-")</f>
        <v>0.31014580161562261</v>
      </c>
      <c r="K203" s="12"/>
      <c r="L203" s="159">
        <v>1</v>
      </c>
      <c r="M203" s="159" t="s">
        <v>409</v>
      </c>
      <c r="N203" s="159">
        <v>2121.48</v>
      </c>
      <c r="O203" s="185">
        <f t="shared" si="10"/>
        <v>2121.48</v>
      </c>
      <c r="P203" s="215">
        <f t="shared" si="9"/>
        <v>657.96811521151108</v>
      </c>
      <c r="Q203" s="215" cm="1">
        <f t="array" ref="Q203">IF(P203="-",0,P203/(1+'General inputs'!$H$32)^IFERROR(INDEX('MP Calculations'!$C$40:$C$130,MATCH(F203,'MP Calculations'!$D$40:$D$130,0),0),-1))</f>
        <v>1324.2075839337467</v>
      </c>
    </row>
    <row r="204" spans="3:17" x14ac:dyDescent="0.25">
      <c r="C204" s="159"/>
      <c r="D204" s="165" t="s">
        <v>520</v>
      </c>
      <c r="E204" s="161">
        <v>38883</v>
      </c>
      <c r="F204" s="172" t="str">
        <f t="shared" si="8"/>
        <v>2005-06</v>
      </c>
      <c r="G204" s="68"/>
      <c r="H204" s="167" t="s">
        <v>279</v>
      </c>
      <c r="I204" s="173">
        <v>89592.114709699614</v>
      </c>
      <c r="J204" s="168">
        <f>IFERROR(MIN('MP Calculations'!$E$30/I204,1),"-")</f>
        <v>0.31014580161562261</v>
      </c>
      <c r="K204" s="12"/>
      <c r="L204" s="159">
        <v>1</v>
      </c>
      <c r="M204" s="159" t="s">
        <v>409</v>
      </c>
      <c r="N204" s="159">
        <v>484.85</v>
      </c>
      <c r="O204" s="185">
        <f t="shared" si="10"/>
        <v>484.85</v>
      </c>
      <c r="P204" s="215">
        <f t="shared" si="9"/>
        <v>150.37419191333464</v>
      </c>
      <c r="Q204" s="215" cm="1">
        <f t="array" ref="Q204">IF(P204="-",0,P204/(1+'General inputs'!$H$32)^IFERROR(INDEX('MP Calculations'!$C$40:$C$130,MATCH(F204,'MP Calculations'!$D$40:$D$130,0),0),-1))</f>
        <v>302.638746097195</v>
      </c>
    </row>
    <row r="205" spans="3:17" x14ac:dyDescent="0.25">
      <c r="C205" s="159"/>
      <c r="D205" s="165" t="s">
        <v>521</v>
      </c>
      <c r="E205" s="161">
        <v>38883</v>
      </c>
      <c r="F205" s="172" t="str">
        <f t="shared" si="8"/>
        <v>2005-06</v>
      </c>
      <c r="G205" s="68"/>
      <c r="H205" s="167" t="s">
        <v>279</v>
      </c>
      <c r="I205" s="173">
        <v>89592.114709699614</v>
      </c>
      <c r="J205" s="168">
        <f>IFERROR(MIN('MP Calculations'!$E$30/I205,1),"-")</f>
        <v>0.31014580161562261</v>
      </c>
      <c r="K205" s="12"/>
      <c r="L205" s="159">
        <v>1</v>
      </c>
      <c r="M205" s="159" t="s">
        <v>409</v>
      </c>
      <c r="N205" s="159">
        <v>67971.960000000006</v>
      </c>
      <c r="O205" s="185">
        <f t="shared" si="10"/>
        <v>67971.960000000006</v>
      </c>
      <c r="P205" s="215">
        <f t="shared" si="9"/>
        <v>21081.218021585039</v>
      </c>
      <c r="Q205" s="215" cm="1">
        <f t="array" ref="Q205">IF(P205="-",0,P205/(1+'General inputs'!$H$32)^IFERROR(INDEX('MP Calculations'!$C$40:$C$130,MATCH(F205,'MP Calculations'!$D$40:$D$130,0),0),-1))</f>
        <v>42427.449199069182</v>
      </c>
    </row>
    <row r="206" spans="3:17" x14ac:dyDescent="0.25">
      <c r="C206" s="159"/>
      <c r="D206" s="165" t="s">
        <v>522</v>
      </c>
      <c r="E206" s="161">
        <v>38883</v>
      </c>
      <c r="F206" s="172" t="str">
        <f t="shared" si="8"/>
        <v>2005-06</v>
      </c>
      <c r="G206" s="68"/>
      <c r="H206" s="167" t="s">
        <v>279</v>
      </c>
      <c r="I206" s="173">
        <v>89592.114709699614</v>
      </c>
      <c r="J206" s="168">
        <f>IFERROR(MIN('MP Calculations'!$E$30/I206,1),"-")</f>
        <v>0.31014580161562261</v>
      </c>
      <c r="K206" s="12"/>
      <c r="L206" s="159">
        <v>1</v>
      </c>
      <c r="M206" s="159" t="s">
        <v>409</v>
      </c>
      <c r="N206" s="159">
        <v>448.37</v>
      </c>
      <c r="O206" s="185">
        <f t="shared" si="10"/>
        <v>448.37</v>
      </c>
      <c r="P206" s="215">
        <f t="shared" si="9"/>
        <v>139.0600730703967</v>
      </c>
      <c r="Q206" s="215" cm="1">
        <f t="array" ref="Q206">IF(P206="-",0,P206/(1+'General inputs'!$H$32)^IFERROR(INDEX('MP Calculations'!$C$40:$C$130,MATCH(F206,'MP Calculations'!$D$40:$D$130,0),0),-1))</f>
        <v>279.86827799855479</v>
      </c>
    </row>
    <row r="207" spans="3:17" x14ac:dyDescent="0.25">
      <c r="C207" s="159"/>
      <c r="D207" s="165" t="s">
        <v>523</v>
      </c>
      <c r="E207" s="161">
        <v>38883</v>
      </c>
      <c r="F207" s="172" t="str">
        <f t="shared" si="8"/>
        <v>2005-06</v>
      </c>
      <c r="G207" s="68"/>
      <c r="H207" s="167" t="s">
        <v>279</v>
      </c>
      <c r="I207" s="173">
        <v>89592.114709699614</v>
      </c>
      <c r="J207" s="168">
        <f>IFERROR(MIN('MP Calculations'!$E$30/I207,1),"-")</f>
        <v>0.31014580161562261</v>
      </c>
      <c r="K207" s="12"/>
      <c r="L207" s="159">
        <v>1</v>
      </c>
      <c r="M207" s="159" t="s">
        <v>409</v>
      </c>
      <c r="N207" s="159">
        <v>20619.349999999999</v>
      </c>
      <c r="O207" s="185">
        <f t="shared" si="10"/>
        <v>20619.349999999999</v>
      </c>
      <c r="P207" s="215">
        <f t="shared" si="9"/>
        <v>6395.0048345430878</v>
      </c>
      <c r="Q207" s="215" cm="1">
        <f t="array" ref="Q207">IF(P207="-",0,P207/(1+'General inputs'!$H$32)^IFERROR(INDEX('MP Calculations'!$C$40:$C$130,MATCH(F207,'MP Calculations'!$D$40:$D$130,0),0),-1))</f>
        <v>12870.401628007005</v>
      </c>
    </row>
    <row r="208" spans="3:17" x14ac:dyDescent="0.25">
      <c r="C208" s="159"/>
      <c r="D208" s="165" t="s">
        <v>524</v>
      </c>
      <c r="E208" s="161">
        <v>38883</v>
      </c>
      <c r="F208" s="172" t="str">
        <f t="shared" si="8"/>
        <v>2005-06</v>
      </c>
      <c r="G208" s="68"/>
      <c r="H208" s="167" t="s">
        <v>279</v>
      </c>
      <c r="I208" s="173">
        <v>89592.114709699614</v>
      </c>
      <c r="J208" s="168">
        <f>IFERROR(MIN('MP Calculations'!$E$30/I208,1),"-")</f>
        <v>0.31014580161562261</v>
      </c>
      <c r="K208" s="12"/>
      <c r="L208" s="159">
        <v>1</v>
      </c>
      <c r="M208" s="159" t="s">
        <v>409</v>
      </c>
      <c r="N208" s="159">
        <v>20589.349999999999</v>
      </c>
      <c r="O208" s="185">
        <f t="shared" si="10"/>
        <v>20589.349999999999</v>
      </c>
      <c r="P208" s="215">
        <f t="shared" si="9"/>
        <v>6385.7004604946187</v>
      </c>
      <c r="Q208" s="215" cm="1">
        <f t="array" ref="Q208">IF(P208="-",0,P208/(1+'General inputs'!$H$32)^IFERROR(INDEX('MP Calculations'!$C$40:$C$130,MATCH(F208,'MP Calculations'!$D$40:$D$130,0),0),-1))</f>
        <v>12851.675914110096</v>
      </c>
    </row>
    <row r="209" spans="3:17" x14ac:dyDescent="0.25">
      <c r="C209" s="159"/>
      <c r="D209" s="165" t="s">
        <v>524</v>
      </c>
      <c r="E209" s="161">
        <v>38883</v>
      </c>
      <c r="F209" s="172" t="str">
        <f t="shared" si="8"/>
        <v>2005-06</v>
      </c>
      <c r="G209" s="68"/>
      <c r="H209" s="167" t="s">
        <v>279</v>
      </c>
      <c r="I209" s="173">
        <v>89592.114709699614</v>
      </c>
      <c r="J209" s="168">
        <f>IFERROR(MIN('MP Calculations'!$E$30/I209,1),"-")</f>
        <v>0.31014580161562261</v>
      </c>
      <c r="K209" s="12"/>
      <c r="L209" s="159">
        <v>1</v>
      </c>
      <c r="M209" s="159" t="s">
        <v>409</v>
      </c>
      <c r="N209" s="159">
        <v>3088.63</v>
      </c>
      <c r="O209" s="185">
        <f t="shared" si="10"/>
        <v>3088.63</v>
      </c>
      <c r="P209" s="215">
        <f t="shared" si="9"/>
        <v>957.92562724406048</v>
      </c>
      <c r="Q209" s="215" cm="1">
        <f t="array" ref="Q209">IF(P209="-",0,P209/(1+'General inputs'!$H$32)^IFERROR(INDEX('MP Calculations'!$C$40:$C$130,MATCH(F209,'MP Calculations'!$D$40:$D$130,0),0),-1))</f>
        <v>1927.8933904468995</v>
      </c>
    </row>
    <row r="210" spans="3:17" x14ac:dyDescent="0.25">
      <c r="C210" s="159"/>
      <c r="D210" s="165" t="s">
        <v>525</v>
      </c>
      <c r="E210" s="161">
        <v>38894</v>
      </c>
      <c r="F210" s="172" t="str">
        <f t="shared" si="8"/>
        <v>2005-06</v>
      </c>
      <c r="G210" s="68"/>
      <c r="H210" s="167" t="s">
        <v>279</v>
      </c>
      <c r="I210" s="173">
        <v>89592.114709699614</v>
      </c>
      <c r="J210" s="168">
        <f>IFERROR(MIN('MP Calculations'!$E$30/I210,1),"-")</f>
        <v>0.31014580161562261</v>
      </c>
      <c r="K210" s="12"/>
      <c r="L210" s="159">
        <v>1</v>
      </c>
      <c r="M210" s="159" t="s">
        <v>409</v>
      </c>
      <c r="N210" s="159">
        <v>124367.85</v>
      </c>
      <c r="O210" s="185">
        <f t="shared" si="10"/>
        <v>124367.85</v>
      </c>
      <c r="P210" s="215">
        <f t="shared" si="9"/>
        <v>38572.16653346151</v>
      </c>
      <c r="Q210" s="215" cm="1">
        <f t="array" ref="Q210">IF(P210="-",0,P210/(1+'General inputs'!$H$32)^IFERROR(INDEX('MP Calculations'!$C$40:$C$130,MATCH(F210,'MP Calculations'!$D$40:$D$130,0),0),-1))</f>
        <v>77629.225902452352</v>
      </c>
    </row>
    <row r="211" spans="3:17" x14ac:dyDescent="0.25">
      <c r="C211" s="159"/>
      <c r="D211" s="165" t="s">
        <v>526</v>
      </c>
      <c r="E211" s="161">
        <v>38896</v>
      </c>
      <c r="F211" s="172" t="str">
        <f t="shared" si="8"/>
        <v>2005-06</v>
      </c>
      <c r="G211" s="68"/>
      <c r="H211" s="167" t="s">
        <v>279</v>
      </c>
      <c r="I211" s="173">
        <v>89592.114709699614</v>
      </c>
      <c r="J211" s="168">
        <f>IFERROR(MIN('MP Calculations'!$E$30/I211,1),"-")</f>
        <v>0.31014580161562261</v>
      </c>
      <c r="K211" s="12"/>
      <c r="L211" s="159">
        <v>1</v>
      </c>
      <c r="M211" s="159" t="s">
        <v>409</v>
      </c>
      <c r="N211" s="159">
        <v>1176.81</v>
      </c>
      <c r="O211" s="185">
        <f t="shared" si="10"/>
        <v>1176.81</v>
      </c>
      <c r="P211" s="215">
        <f t="shared" si="9"/>
        <v>364.98268079928084</v>
      </c>
      <c r="Q211" s="215" cm="1">
        <f t="array" ref="Q211">IF(P211="-",0,P211/(1+'General inputs'!$H$32)^IFERROR(INDEX('MP Calculations'!$C$40:$C$130,MATCH(F211,'MP Calculations'!$D$40:$D$130,0),0),-1))</f>
        <v>734.55357903401045</v>
      </c>
    </row>
    <row r="212" spans="3:17" x14ac:dyDescent="0.25">
      <c r="C212" s="159"/>
      <c r="D212" s="165" t="s">
        <v>527</v>
      </c>
      <c r="E212" s="161">
        <v>38898</v>
      </c>
      <c r="F212" s="172" t="str">
        <f t="shared" si="8"/>
        <v>2005-06</v>
      </c>
      <c r="G212" s="68"/>
      <c r="H212" s="167" t="s">
        <v>279</v>
      </c>
      <c r="I212" s="173">
        <v>89592.114709699614</v>
      </c>
      <c r="J212" s="168">
        <f>IFERROR(MIN('MP Calculations'!$E$30/I212,1),"-")</f>
        <v>0.31014580161562261</v>
      </c>
      <c r="K212" s="12"/>
      <c r="L212" s="159">
        <v>1</v>
      </c>
      <c r="M212" s="159" t="s">
        <v>409</v>
      </c>
      <c r="N212" s="159">
        <v>7863.61</v>
      </c>
      <c r="O212" s="185">
        <f t="shared" si="10"/>
        <v>7863.61</v>
      </c>
      <c r="P212" s="215">
        <f t="shared" si="9"/>
        <v>2438.8656270426259</v>
      </c>
      <c r="Q212" s="215" cm="1">
        <f t="array" ref="Q212">IF(P212="-",0,P212/(1+'General inputs'!$H$32)^IFERROR(INDEX('MP Calculations'!$C$40:$C$130,MATCH(F212,'MP Calculations'!$D$40:$D$130,0),0),-1))</f>
        <v>4908.390368562159</v>
      </c>
    </row>
    <row r="213" spans="3:17" x14ac:dyDescent="0.25">
      <c r="C213" s="159"/>
      <c r="D213" s="165" t="s">
        <v>528</v>
      </c>
      <c r="E213" s="161">
        <v>38898</v>
      </c>
      <c r="F213" s="172" t="str">
        <f t="shared" si="8"/>
        <v>2005-06</v>
      </c>
      <c r="G213" s="68"/>
      <c r="H213" s="167" t="s">
        <v>279</v>
      </c>
      <c r="I213" s="173">
        <v>89592.114709699614</v>
      </c>
      <c r="J213" s="168">
        <f>IFERROR(MIN('MP Calculations'!$E$30/I213,1),"-")</f>
        <v>0.31014580161562261</v>
      </c>
      <c r="K213" s="12"/>
      <c r="L213" s="159">
        <v>1</v>
      </c>
      <c r="M213" s="159" t="s">
        <v>409</v>
      </c>
      <c r="N213" s="159">
        <v>7779.84</v>
      </c>
      <c r="O213" s="185">
        <f t="shared" si="10"/>
        <v>7779.84</v>
      </c>
      <c r="P213" s="215">
        <f t="shared" si="9"/>
        <v>2412.8847132412852</v>
      </c>
      <c r="Q213" s="215" cm="1">
        <f t="array" ref="Q213">IF(P213="-",0,P213/(1+'General inputs'!$H$32)^IFERROR(INDEX('MP Calculations'!$C$40:$C$130,MATCH(F213,'MP Calculations'!$D$40:$D$130,0),0),-1))</f>
        <v>4856.1019334573602</v>
      </c>
    </row>
    <row r="214" spans="3:17" x14ac:dyDescent="0.25">
      <c r="C214" s="159"/>
      <c r="D214" s="165" t="s">
        <v>529</v>
      </c>
      <c r="E214" s="161">
        <v>38899</v>
      </c>
      <c r="F214" s="172" t="str">
        <f t="shared" ref="F214:F277" si="11">IF(E214="","-",IF(OR(E214&lt;$E$15,E214&gt;$E$16),"ERROR - date outside of range",IF(MONTH(E214)&gt;=7,YEAR(E214)&amp;"-"&amp;IF(YEAR(E214)=1999,"00",IF(AND(YEAR(E214)&gt;=2000,YEAR(E214)&lt;2009),"0","")&amp;RIGHT(YEAR(E214),2)+1),RIGHT(YEAR(E214),4)-1&amp;"-"&amp;RIGHT(YEAR(E214),2))))</f>
        <v>2006-07</v>
      </c>
      <c r="G214" s="68"/>
      <c r="H214" s="167" t="s">
        <v>279</v>
      </c>
      <c r="I214" s="173">
        <v>89592.114709699614</v>
      </c>
      <c r="J214" s="168">
        <f>IFERROR(MIN('MP Calculations'!$E$30/I214,1),"-")</f>
        <v>0.31014580161562261</v>
      </c>
      <c r="K214" s="12"/>
      <c r="L214" s="159">
        <v>1</v>
      </c>
      <c r="M214" s="159" t="s">
        <v>409</v>
      </c>
      <c r="N214" s="159">
        <v>60238.01</v>
      </c>
      <c r="O214" s="185">
        <f t="shared" si="10"/>
        <v>60238.01</v>
      </c>
      <c r="P214" s="215">
        <f t="shared" si="9"/>
        <v>18682.565899179892</v>
      </c>
      <c r="Q214" s="215" cm="1">
        <f t="array" ref="Q214">IF(P214="-",0,P214/(1+'General inputs'!$H$32)^IFERROR(INDEX('MP Calculations'!$C$40:$C$130,MATCH(F214,'MP Calculations'!$D$40:$D$130,0),0),-1))</f>
        <v>36084.444689030184</v>
      </c>
    </row>
    <row r="215" spans="3:17" x14ac:dyDescent="0.25">
      <c r="C215" s="159"/>
      <c r="D215" s="165" t="s">
        <v>530</v>
      </c>
      <c r="E215" s="161">
        <v>38960</v>
      </c>
      <c r="F215" s="172" t="str">
        <f t="shared" si="11"/>
        <v>2006-07</v>
      </c>
      <c r="G215" s="68"/>
      <c r="H215" s="167" t="s">
        <v>279</v>
      </c>
      <c r="I215" s="173">
        <v>89592.114709699614</v>
      </c>
      <c r="J215" s="168">
        <f>IFERROR(MIN('MP Calculations'!$E$30/I215,1),"-")</f>
        <v>0.31014580161562261</v>
      </c>
      <c r="K215" s="12"/>
      <c r="L215" s="159">
        <v>1</v>
      </c>
      <c r="M215" s="159" t="s">
        <v>409</v>
      </c>
      <c r="N215" s="159">
        <v>4998.99</v>
      </c>
      <c r="O215" s="185">
        <f t="shared" si="10"/>
        <v>4998.99</v>
      </c>
      <c r="P215" s="215">
        <f t="shared" ref="P215:P278" si="12">IF(O215="-","-",IF(OR(E215&lt;$E$15,E215&gt;$E$16),0,O215*J215))</f>
        <v>1550.4157608184812</v>
      </c>
      <c r="Q215" s="215" cm="1">
        <f t="array" ref="Q215">IF(P215="-",0,P215/(1+'General inputs'!$H$32)^IFERROR(INDEX('MP Calculations'!$C$40:$C$130,MATCH(F215,'MP Calculations'!$D$40:$D$130,0),0),-1))</f>
        <v>2994.5507521914319</v>
      </c>
    </row>
    <row r="216" spans="3:17" ht="23" x14ac:dyDescent="0.25">
      <c r="C216" s="159"/>
      <c r="D216" s="165" t="s">
        <v>531</v>
      </c>
      <c r="E216" s="161">
        <v>38974</v>
      </c>
      <c r="F216" s="172" t="str">
        <f t="shared" si="11"/>
        <v>2006-07</v>
      </c>
      <c r="G216" s="68"/>
      <c r="H216" s="167" t="s">
        <v>279</v>
      </c>
      <c r="I216" s="173">
        <v>89592.114709699614</v>
      </c>
      <c r="J216" s="168">
        <f>IFERROR(MIN('MP Calculations'!$E$30/I216,1),"-")</f>
        <v>0.31014580161562261</v>
      </c>
      <c r="K216" s="12"/>
      <c r="L216" s="159">
        <v>43.153041999999999</v>
      </c>
      <c r="M216" s="159" t="s">
        <v>408</v>
      </c>
      <c r="N216" s="159">
        <v>3983</v>
      </c>
      <c r="O216" s="185">
        <f t="shared" si="10"/>
        <v>171878.56628599999</v>
      </c>
      <c r="P216" s="215">
        <f t="shared" si="12"/>
        <v>53307.415721315389</v>
      </c>
      <c r="Q216" s="215" cm="1">
        <f t="array" ref="Q216">IF(P216="-",0,P216/(1+'General inputs'!$H$32)^IFERROR(INDEX('MP Calculations'!$C$40:$C$130,MATCH(F216,'MP Calculations'!$D$40:$D$130,0),0),-1))</f>
        <v>102960.61603590447</v>
      </c>
    </row>
    <row r="217" spans="3:17" x14ac:dyDescent="0.25">
      <c r="C217" s="159"/>
      <c r="D217" s="165" t="s">
        <v>306</v>
      </c>
      <c r="E217" s="161">
        <v>38974</v>
      </c>
      <c r="F217" s="172" t="str">
        <f t="shared" si="11"/>
        <v>2006-07</v>
      </c>
      <c r="G217" s="68"/>
      <c r="H217" s="167" t="s">
        <v>279</v>
      </c>
      <c r="I217" s="173">
        <v>89592.114709699614</v>
      </c>
      <c r="J217" s="168">
        <f>IFERROR(MIN('MP Calculations'!$E$30/I217,1),"-")</f>
        <v>0.31014580161562261</v>
      </c>
      <c r="K217" s="12"/>
      <c r="L217" s="159">
        <v>78.470343999999997</v>
      </c>
      <c r="M217" s="159" t="s">
        <v>408</v>
      </c>
      <c r="N217" s="159">
        <v>2321</v>
      </c>
      <c r="O217" s="185">
        <f t="shared" si="10"/>
        <v>182129.668424</v>
      </c>
      <c r="P217" s="215">
        <f t="shared" si="12"/>
        <v>56486.752011349032</v>
      </c>
      <c r="Q217" s="215" cm="1">
        <f t="array" ref="Q217">IF(P217="-",0,P217/(1+'General inputs'!$H$32)^IFERROR(INDEX('MP Calculations'!$C$40:$C$130,MATCH(F217,'MP Calculations'!$D$40:$D$130,0),0),-1))</f>
        <v>109101.34558690162</v>
      </c>
    </row>
    <row r="218" spans="3:17" x14ac:dyDescent="0.25">
      <c r="C218" s="159"/>
      <c r="D218" s="165" t="s">
        <v>532</v>
      </c>
      <c r="E218" s="161">
        <v>39016</v>
      </c>
      <c r="F218" s="172" t="str">
        <f t="shared" si="11"/>
        <v>2006-07</v>
      </c>
      <c r="G218" s="68"/>
      <c r="H218" s="167" t="s">
        <v>279</v>
      </c>
      <c r="I218" s="173">
        <v>89592.114709699614</v>
      </c>
      <c r="J218" s="168">
        <f>IFERROR(MIN('MP Calculations'!$E$30/I218,1),"-")</f>
        <v>0.31014580161562261</v>
      </c>
      <c r="K218" s="12"/>
      <c r="L218" s="159">
        <v>9.7544129999999996</v>
      </c>
      <c r="M218" s="159" t="s">
        <v>408</v>
      </c>
      <c r="N218" s="159">
        <v>2785</v>
      </c>
      <c r="O218" s="185">
        <f t="shared" si="10"/>
        <v>27166.040204999998</v>
      </c>
      <c r="P218" s="215">
        <f t="shared" si="12"/>
        <v>8425.4333161019567</v>
      </c>
      <c r="Q218" s="215" cm="1">
        <f t="array" ref="Q218">IF(P218="-",0,P218/(1+'General inputs'!$H$32)^IFERROR(INDEX('MP Calculations'!$C$40:$C$130,MATCH(F218,'MP Calculations'!$D$40:$D$130,0),0),-1))</f>
        <v>16273.304433484649</v>
      </c>
    </row>
    <row r="219" spans="3:17" x14ac:dyDescent="0.25">
      <c r="C219" s="159"/>
      <c r="D219" s="165" t="s">
        <v>532</v>
      </c>
      <c r="E219" s="161">
        <v>39016</v>
      </c>
      <c r="F219" s="172" t="str">
        <f t="shared" si="11"/>
        <v>2006-07</v>
      </c>
      <c r="G219" s="68"/>
      <c r="H219" s="167" t="s">
        <v>279</v>
      </c>
      <c r="I219" s="173">
        <v>89592.114709699614</v>
      </c>
      <c r="J219" s="168">
        <f>IFERROR(MIN('MP Calculations'!$E$30/I219,1),"-")</f>
        <v>0.31014580161562261</v>
      </c>
      <c r="K219" s="12"/>
      <c r="L219" s="159">
        <v>48.830728999999998</v>
      </c>
      <c r="M219" s="159" t="s">
        <v>408</v>
      </c>
      <c r="N219" s="159">
        <v>2785</v>
      </c>
      <c r="O219" s="185">
        <f t="shared" si="10"/>
        <v>135993.580265</v>
      </c>
      <c r="P219" s="215">
        <f t="shared" si="12"/>
        <v>42177.837965866936</v>
      </c>
      <c r="Q219" s="215" cm="1">
        <f t="array" ref="Q219">IF(P219="-",0,P219/(1+'General inputs'!$H$32)^IFERROR(INDEX('MP Calculations'!$C$40:$C$130,MATCH(F219,'MP Calculations'!$D$40:$D$130,0),0),-1))</f>
        <v>81464.391422219604</v>
      </c>
    </row>
    <row r="220" spans="3:17" x14ac:dyDescent="0.25">
      <c r="C220" s="159"/>
      <c r="D220" s="165" t="s">
        <v>532</v>
      </c>
      <c r="E220" s="161">
        <v>39016</v>
      </c>
      <c r="F220" s="172" t="str">
        <f t="shared" si="11"/>
        <v>2006-07</v>
      </c>
      <c r="G220" s="68"/>
      <c r="H220" s="167" t="s">
        <v>279</v>
      </c>
      <c r="I220" s="173">
        <v>89592.114709699614</v>
      </c>
      <c r="J220" s="168">
        <f>IFERROR(MIN('MP Calculations'!$E$30/I220,1),"-")</f>
        <v>0.31014580161562261</v>
      </c>
      <c r="K220" s="12"/>
      <c r="L220" s="159">
        <v>20.752822999999999</v>
      </c>
      <c r="M220" s="159" t="s">
        <v>408</v>
      </c>
      <c r="N220" s="159">
        <v>2785</v>
      </c>
      <c r="O220" s="185">
        <f t="shared" si="10"/>
        <v>57796.612054999998</v>
      </c>
      <c r="P220" s="215">
        <f t="shared" si="12"/>
        <v>17925.376576465133</v>
      </c>
      <c r="Q220" s="215" cm="1">
        <f t="array" ref="Q220">IF(P220="-",0,P220/(1+'General inputs'!$H$32)^IFERROR(INDEX('MP Calculations'!$C$40:$C$130,MATCH(F220,'MP Calculations'!$D$40:$D$130,0),0),-1))</f>
        <v>34621.971258877624</v>
      </c>
    </row>
    <row r="221" spans="3:17" x14ac:dyDescent="0.25">
      <c r="C221" s="159"/>
      <c r="D221" s="165" t="s">
        <v>532</v>
      </c>
      <c r="E221" s="161">
        <v>39016</v>
      </c>
      <c r="F221" s="172" t="str">
        <f t="shared" si="11"/>
        <v>2006-07</v>
      </c>
      <c r="G221" s="68"/>
      <c r="H221" s="167" t="s">
        <v>279</v>
      </c>
      <c r="I221" s="173">
        <v>89592.114709699614</v>
      </c>
      <c r="J221" s="168">
        <f>IFERROR(MIN('MP Calculations'!$E$30/I221,1),"-")</f>
        <v>0.31014580161562261</v>
      </c>
      <c r="K221" s="12"/>
      <c r="L221" s="159">
        <v>146.782072</v>
      </c>
      <c r="M221" s="159" t="s">
        <v>408</v>
      </c>
      <c r="N221" s="159">
        <v>2785</v>
      </c>
      <c r="O221" s="185">
        <f t="shared" si="10"/>
        <v>408788.07052000001</v>
      </c>
      <c r="P221" s="215">
        <f t="shared" si="12"/>
        <v>126783.90382232907</v>
      </c>
      <c r="Q221" s="215" cm="1">
        <f t="array" ref="Q221">IF(P221="-",0,P221/(1+'General inputs'!$H$32)^IFERROR(INDEX('MP Calculations'!$C$40:$C$130,MATCH(F221,'MP Calculations'!$D$40:$D$130,0),0),-1))</f>
        <v>244876.78992407469</v>
      </c>
    </row>
    <row r="222" spans="3:17" x14ac:dyDescent="0.25">
      <c r="C222" s="159"/>
      <c r="D222" s="165" t="s">
        <v>532</v>
      </c>
      <c r="E222" s="161">
        <v>39016</v>
      </c>
      <c r="F222" s="172" t="str">
        <f t="shared" si="11"/>
        <v>2006-07</v>
      </c>
      <c r="G222" s="68"/>
      <c r="H222" s="167" t="s">
        <v>279</v>
      </c>
      <c r="I222" s="173">
        <v>89592.114709699614</v>
      </c>
      <c r="J222" s="168">
        <f>IFERROR(MIN('MP Calculations'!$E$30/I222,1),"-")</f>
        <v>0.31014580161562261</v>
      </c>
      <c r="K222" s="12"/>
      <c r="L222" s="159">
        <v>18.097042999999999</v>
      </c>
      <c r="M222" s="159" t="s">
        <v>408</v>
      </c>
      <c r="N222" s="159">
        <v>2785</v>
      </c>
      <c r="O222" s="185">
        <f t="shared" si="10"/>
        <v>50400.264754999997</v>
      </c>
      <c r="P222" s="215">
        <f t="shared" si="12"/>
        <v>15631.430514079086</v>
      </c>
      <c r="Q222" s="215" cm="1">
        <f t="array" ref="Q222">IF(P222="-",0,P222/(1+'General inputs'!$H$32)^IFERROR(INDEX('MP Calculations'!$C$40:$C$130,MATCH(F222,'MP Calculations'!$D$40:$D$130,0),0),-1))</f>
        <v>30191.328794963094</v>
      </c>
    </row>
    <row r="223" spans="3:17" x14ac:dyDescent="0.25">
      <c r="C223" s="159"/>
      <c r="D223" s="165" t="s">
        <v>532</v>
      </c>
      <c r="E223" s="161">
        <v>39016</v>
      </c>
      <c r="F223" s="172" t="str">
        <f t="shared" si="11"/>
        <v>2006-07</v>
      </c>
      <c r="G223" s="68"/>
      <c r="H223" s="167" t="s">
        <v>279</v>
      </c>
      <c r="I223" s="173">
        <v>89592.114709699614</v>
      </c>
      <c r="J223" s="168">
        <f>IFERROR(MIN('MP Calculations'!$E$30/I223,1),"-")</f>
        <v>0.31014580161562261</v>
      </c>
      <c r="K223" s="12"/>
      <c r="L223" s="159">
        <v>19.509701</v>
      </c>
      <c r="M223" s="159" t="s">
        <v>408</v>
      </c>
      <c r="N223" s="159">
        <v>2785</v>
      </c>
      <c r="O223" s="185">
        <f t="shared" si="10"/>
        <v>54334.517285000002</v>
      </c>
      <c r="P223" s="215">
        <f t="shared" si="12"/>
        <v>16851.622418754228</v>
      </c>
      <c r="Q223" s="215" cm="1">
        <f t="array" ref="Q223">IF(P223="-",0,P223/(1+'General inputs'!$H$32)^IFERROR(INDEX('MP Calculations'!$C$40:$C$130,MATCH(F223,'MP Calculations'!$D$40:$D$130,0),0),-1))</f>
        <v>32548.068631014488</v>
      </c>
    </row>
    <row r="224" spans="3:17" x14ac:dyDescent="0.25">
      <c r="C224" s="159"/>
      <c r="D224" s="165" t="s">
        <v>532</v>
      </c>
      <c r="E224" s="161">
        <v>39016</v>
      </c>
      <c r="F224" s="172" t="str">
        <f t="shared" si="11"/>
        <v>2006-07</v>
      </c>
      <c r="G224" s="68"/>
      <c r="H224" s="167" t="s">
        <v>279</v>
      </c>
      <c r="I224" s="173">
        <v>89592.114709699614</v>
      </c>
      <c r="J224" s="168">
        <f>IFERROR(MIN('MP Calculations'!$E$30/I224,1),"-")</f>
        <v>0.31014580161562261</v>
      </c>
      <c r="K224" s="12"/>
      <c r="L224" s="159">
        <v>8.5240109999999998</v>
      </c>
      <c r="M224" s="159" t="s">
        <v>408</v>
      </c>
      <c r="N224" s="159">
        <v>2785</v>
      </c>
      <c r="O224" s="185">
        <f t="shared" si="10"/>
        <v>23739.370634999999</v>
      </c>
      <c r="P224" s="215">
        <f t="shared" si="12"/>
        <v>7362.6661354424468</v>
      </c>
      <c r="Q224" s="215" cm="1">
        <f t="array" ref="Q224">IF(P224="-",0,P224/(1+'General inputs'!$H$32)^IFERROR(INDEX('MP Calculations'!$C$40:$C$130,MATCH(F224,'MP Calculations'!$D$40:$D$130,0),0),-1))</f>
        <v>14220.622604084114</v>
      </c>
    </row>
    <row r="225" spans="3:17" x14ac:dyDescent="0.25">
      <c r="C225" s="159"/>
      <c r="D225" s="165" t="s">
        <v>532</v>
      </c>
      <c r="E225" s="161">
        <v>39016</v>
      </c>
      <c r="F225" s="172" t="str">
        <f t="shared" si="11"/>
        <v>2006-07</v>
      </c>
      <c r="G225" s="68"/>
      <c r="H225" s="167" t="s">
        <v>279</v>
      </c>
      <c r="I225" s="173">
        <v>89592.114709699614</v>
      </c>
      <c r="J225" s="168">
        <f>IFERROR(MIN('MP Calculations'!$E$30/I225,1),"-")</f>
        <v>0.31014580161562261</v>
      </c>
      <c r="K225" s="12"/>
      <c r="L225" s="159">
        <v>20.705621000000001</v>
      </c>
      <c r="M225" s="159" t="s">
        <v>408</v>
      </c>
      <c r="N225" s="159">
        <v>2785</v>
      </c>
      <c r="O225" s="185">
        <f t="shared" si="10"/>
        <v>57665.154484999999</v>
      </c>
      <c r="P225" s="215">
        <f t="shared" si="12"/>
        <v>17884.60556303904</v>
      </c>
      <c r="Q225" s="215" cm="1">
        <f t="array" ref="Q225">IF(P225="-",0,P225/(1+'General inputs'!$H$32)^IFERROR(INDEX('MP Calculations'!$C$40:$C$130,MATCH(F225,'MP Calculations'!$D$40:$D$130,0),0),-1))</f>
        <v>34543.224078922314</v>
      </c>
    </row>
    <row r="226" spans="3:17" x14ac:dyDescent="0.25">
      <c r="C226" s="159"/>
      <c r="D226" s="165" t="s">
        <v>532</v>
      </c>
      <c r="E226" s="161">
        <v>39016</v>
      </c>
      <c r="F226" s="172" t="str">
        <f t="shared" si="11"/>
        <v>2006-07</v>
      </c>
      <c r="G226" s="68"/>
      <c r="H226" s="167" t="s">
        <v>279</v>
      </c>
      <c r="I226" s="173">
        <v>89592.114709699614</v>
      </c>
      <c r="J226" s="168">
        <f>IFERROR(MIN('MP Calculations'!$E$30/I226,1),"-")</f>
        <v>0.31014580161562261</v>
      </c>
      <c r="K226" s="12"/>
      <c r="L226" s="159">
        <v>28.915486999999999</v>
      </c>
      <c r="M226" s="159" t="s">
        <v>408</v>
      </c>
      <c r="N226" s="159">
        <v>2785</v>
      </c>
      <c r="O226" s="185">
        <f t="shared" si="10"/>
        <v>80529.631294999999</v>
      </c>
      <c r="P226" s="215">
        <f t="shared" si="12"/>
        <v>24975.927051798302</v>
      </c>
      <c r="Q226" s="215" cm="1">
        <f t="array" ref="Q226">IF(P226="-",0,P226/(1+'General inputs'!$H$32)^IFERROR(INDEX('MP Calculations'!$C$40:$C$130,MATCH(F226,'MP Calculations'!$D$40:$D$130,0),0),-1))</f>
        <v>48239.758024749186</v>
      </c>
    </row>
    <row r="227" spans="3:17" x14ac:dyDescent="0.25">
      <c r="C227" s="159"/>
      <c r="D227" s="165" t="s">
        <v>532</v>
      </c>
      <c r="E227" s="161">
        <v>39016</v>
      </c>
      <c r="F227" s="172" t="str">
        <f t="shared" si="11"/>
        <v>2006-07</v>
      </c>
      <c r="G227" s="68"/>
      <c r="H227" s="167" t="s">
        <v>279</v>
      </c>
      <c r="I227" s="173">
        <v>89592.114709699614</v>
      </c>
      <c r="J227" s="168">
        <f>IFERROR(MIN('MP Calculations'!$E$30/I227,1),"-")</f>
        <v>0.31014580161562261</v>
      </c>
      <c r="K227" s="12"/>
      <c r="L227" s="159">
        <v>38.869765000000001</v>
      </c>
      <c r="M227" s="159" t="s">
        <v>408</v>
      </c>
      <c r="N227" s="159">
        <v>2785</v>
      </c>
      <c r="O227" s="185">
        <f t="shared" si="10"/>
        <v>108252.29552500001</v>
      </c>
      <c r="P227" s="215">
        <f t="shared" si="12"/>
        <v>33573.994972332403</v>
      </c>
      <c r="Q227" s="215" cm="1">
        <f t="array" ref="Q227">IF(P227="-",0,P227/(1+'General inputs'!$H$32)^IFERROR(INDEX('MP Calculations'!$C$40:$C$130,MATCH(F227,'MP Calculations'!$D$40:$D$130,0),0),-1))</f>
        <v>64846.497590680905</v>
      </c>
    </row>
    <row r="228" spans="3:17" x14ac:dyDescent="0.25">
      <c r="C228" s="159"/>
      <c r="D228" s="165" t="s">
        <v>532</v>
      </c>
      <c r="E228" s="161">
        <v>39016</v>
      </c>
      <c r="F228" s="172" t="str">
        <f t="shared" si="11"/>
        <v>2006-07</v>
      </c>
      <c r="G228" s="68"/>
      <c r="H228" s="167" t="s">
        <v>279</v>
      </c>
      <c r="I228" s="173">
        <v>89592.114709699614</v>
      </c>
      <c r="J228" s="168">
        <f>IFERROR(MIN('MP Calculations'!$E$30/I228,1),"-")</f>
        <v>0.31014580161562261</v>
      </c>
      <c r="K228" s="12"/>
      <c r="L228" s="159">
        <v>58.444507999999999</v>
      </c>
      <c r="M228" s="159" t="s">
        <v>408</v>
      </c>
      <c r="N228" s="159">
        <v>2785</v>
      </c>
      <c r="O228" s="185">
        <f t="shared" si="10"/>
        <v>162767.95478</v>
      </c>
      <c r="P228" s="215">
        <f t="shared" si="12"/>
        <v>50481.797812578508</v>
      </c>
      <c r="Q228" s="215" cm="1">
        <f t="array" ref="Q228">IF(P228="-",0,P228/(1+'General inputs'!$H$32)^IFERROR(INDEX('MP Calculations'!$C$40:$C$130,MATCH(F228,'MP Calculations'!$D$40:$D$130,0),0),-1))</f>
        <v>97503.075905154838</v>
      </c>
    </row>
    <row r="229" spans="3:17" x14ac:dyDescent="0.25">
      <c r="C229" s="159"/>
      <c r="D229" s="165" t="s">
        <v>532</v>
      </c>
      <c r="E229" s="161">
        <v>39016</v>
      </c>
      <c r="F229" s="172" t="str">
        <f t="shared" si="11"/>
        <v>2006-07</v>
      </c>
      <c r="G229" s="68"/>
      <c r="H229" s="167" t="s">
        <v>279</v>
      </c>
      <c r="I229" s="173">
        <v>89592.114709699614</v>
      </c>
      <c r="J229" s="168">
        <f>IFERROR(MIN('MP Calculations'!$E$30/I229,1),"-")</f>
        <v>0.31014580161562261</v>
      </c>
      <c r="K229" s="12"/>
      <c r="L229" s="159">
        <v>38.625782999999998</v>
      </c>
      <c r="M229" s="159" t="s">
        <v>408</v>
      </c>
      <c r="N229" s="159">
        <v>2785</v>
      </c>
      <c r="O229" s="185">
        <f t="shared" si="10"/>
        <v>107572.80565499999</v>
      </c>
      <c r="P229" s="215">
        <f t="shared" si="12"/>
        <v>33363.254041911554</v>
      </c>
      <c r="Q229" s="215" cm="1">
        <f t="array" ref="Q229">IF(P229="-",0,P229/(1+'General inputs'!$H$32)^IFERROR(INDEX('MP Calculations'!$C$40:$C$130,MATCH(F229,'MP Calculations'!$D$40:$D$130,0),0),-1))</f>
        <v>64439.461989226416</v>
      </c>
    </row>
    <row r="230" spans="3:17" x14ac:dyDescent="0.25">
      <c r="C230" s="159"/>
      <c r="D230" s="165" t="s">
        <v>532</v>
      </c>
      <c r="E230" s="161">
        <v>39016</v>
      </c>
      <c r="F230" s="172" t="str">
        <f t="shared" si="11"/>
        <v>2006-07</v>
      </c>
      <c r="G230" s="68"/>
      <c r="H230" s="167" t="s">
        <v>279</v>
      </c>
      <c r="I230" s="173">
        <v>89592.114709699614</v>
      </c>
      <c r="J230" s="168">
        <f>IFERROR(MIN('MP Calculations'!$E$30/I230,1),"-")</f>
        <v>0.31014580161562261</v>
      </c>
      <c r="K230" s="12"/>
      <c r="L230" s="159">
        <v>96.662381999999994</v>
      </c>
      <c r="M230" s="159" t="s">
        <v>408</v>
      </c>
      <c r="N230" s="159">
        <v>2785</v>
      </c>
      <c r="O230" s="185">
        <f t="shared" si="10"/>
        <v>269204.73387</v>
      </c>
      <c r="P230" s="215">
        <f t="shared" si="12"/>
        <v>83492.717984831499</v>
      </c>
      <c r="Q230" s="215" cm="1">
        <f t="array" ref="Q230">IF(P230="-",0,P230/(1+'General inputs'!$H$32)^IFERROR(INDEX('MP Calculations'!$C$40:$C$130,MATCH(F230,'MP Calculations'!$D$40:$D$130,0),0),-1))</f>
        <v>161262.0225893436</v>
      </c>
    </row>
    <row r="231" spans="3:17" x14ac:dyDescent="0.25">
      <c r="C231" s="159"/>
      <c r="D231" s="165" t="s">
        <v>532</v>
      </c>
      <c r="E231" s="161">
        <v>39016</v>
      </c>
      <c r="F231" s="172" t="str">
        <f t="shared" si="11"/>
        <v>2006-07</v>
      </c>
      <c r="G231" s="68"/>
      <c r="H231" s="167" t="s">
        <v>279</v>
      </c>
      <c r="I231" s="173">
        <v>89592.114709699614</v>
      </c>
      <c r="J231" s="168">
        <f>IFERROR(MIN('MP Calculations'!$E$30/I231,1),"-")</f>
        <v>0.31014580161562261</v>
      </c>
      <c r="K231" s="12"/>
      <c r="L231" s="159">
        <v>38.787027999999999</v>
      </c>
      <c r="M231" s="159" t="s">
        <v>408</v>
      </c>
      <c r="N231" s="159">
        <v>2785</v>
      </c>
      <c r="O231" s="185">
        <f t="shared" si="10"/>
        <v>108021.87298</v>
      </c>
      <c r="P231" s="215">
        <f t="shared" si="12"/>
        <v>33502.530387403065</v>
      </c>
      <c r="Q231" s="215" cm="1">
        <f t="array" ref="Q231">IF(P231="-",0,P231/(1+'General inputs'!$H$32)^IFERROR(INDEX('MP Calculations'!$C$40:$C$130,MATCH(F231,'MP Calculations'!$D$40:$D$130,0),0),-1))</f>
        <v>64708.467307473373</v>
      </c>
    </row>
    <row r="232" spans="3:17" x14ac:dyDescent="0.25">
      <c r="C232" s="159"/>
      <c r="D232" s="165" t="s">
        <v>532</v>
      </c>
      <c r="E232" s="161">
        <v>39016</v>
      </c>
      <c r="F232" s="172" t="str">
        <f t="shared" si="11"/>
        <v>2006-07</v>
      </c>
      <c r="G232" s="68"/>
      <c r="H232" s="167" t="s">
        <v>279</v>
      </c>
      <c r="I232" s="173">
        <v>89592.114709699614</v>
      </c>
      <c r="J232" s="168">
        <f>IFERROR(MIN('MP Calculations'!$E$30/I232,1),"-")</f>
        <v>0.31014580161562261</v>
      </c>
      <c r="K232" s="12"/>
      <c r="L232" s="159">
        <v>565.18605300000002</v>
      </c>
      <c r="M232" s="159" t="s">
        <v>408</v>
      </c>
      <c r="N232" s="159">
        <v>2785</v>
      </c>
      <c r="O232" s="185">
        <f t="shared" si="10"/>
        <v>1574043.1576050001</v>
      </c>
      <c r="P232" s="215">
        <f t="shared" si="12"/>
        <v>488182.87689298857</v>
      </c>
      <c r="Q232" s="215" cm="1">
        <f t="array" ref="Q232">IF(P232="-",0,P232/(1+'General inputs'!$H$32)^IFERROR(INDEX('MP Calculations'!$C$40:$C$130,MATCH(F232,'MP Calculations'!$D$40:$D$130,0),0),-1))</f>
        <v>942900.89029740612</v>
      </c>
    </row>
    <row r="233" spans="3:17" x14ac:dyDescent="0.25">
      <c r="C233" s="159"/>
      <c r="D233" s="165" t="s">
        <v>532</v>
      </c>
      <c r="E233" s="161">
        <v>39016</v>
      </c>
      <c r="F233" s="172" t="str">
        <f t="shared" si="11"/>
        <v>2006-07</v>
      </c>
      <c r="G233" s="68"/>
      <c r="H233" s="167" t="s">
        <v>279</v>
      </c>
      <c r="I233" s="173">
        <v>89592.114709699614</v>
      </c>
      <c r="J233" s="168">
        <f>IFERROR(MIN('MP Calculations'!$E$30/I233,1),"-")</f>
        <v>0.31014580161562261</v>
      </c>
      <c r="K233" s="12"/>
      <c r="L233" s="159">
        <v>57.870705999999998</v>
      </c>
      <c r="M233" s="159" t="s">
        <v>408</v>
      </c>
      <c r="N233" s="159">
        <v>2785</v>
      </c>
      <c r="O233" s="185">
        <f t="shared" si="10"/>
        <v>161169.91621</v>
      </c>
      <c r="P233" s="215">
        <f t="shared" si="12"/>
        <v>49986.172859273174</v>
      </c>
      <c r="Q233" s="215" cm="1">
        <f t="array" ref="Q233">IF(P233="-",0,P233/(1+'General inputs'!$H$32)^IFERROR(INDEX('MP Calculations'!$C$40:$C$130,MATCH(F233,'MP Calculations'!$D$40:$D$130,0),0),-1))</f>
        <v>96545.801015262186</v>
      </c>
    </row>
    <row r="234" spans="3:17" x14ac:dyDescent="0.25">
      <c r="C234" s="159"/>
      <c r="D234" s="165" t="s">
        <v>532</v>
      </c>
      <c r="E234" s="161">
        <v>39016</v>
      </c>
      <c r="F234" s="172" t="str">
        <f t="shared" si="11"/>
        <v>2006-07</v>
      </c>
      <c r="G234" s="68"/>
      <c r="H234" s="167" t="s">
        <v>279</v>
      </c>
      <c r="I234" s="173">
        <v>89592.114709699614</v>
      </c>
      <c r="J234" s="168">
        <f>IFERROR(MIN('MP Calculations'!$E$30/I234,1),"-")</f>
        <v>0.31014580161562261</v>
      </c>
      <c r="K234" s="12"/>
      <c r="L234" s="159">
        <v>48.378362000000003</v>
      </c>
      <c r="M234" s="159" t="s">
        <v>408</v>
      </c>
      <c r="N234" s="159">
        <v>2785</v>
      </c>
      <c r="O234" s="185">
        <f t="shared" si="10"/>
        <v>134733.73817</v>
      </c>
      <c r="P234" s="215">
        <f t="shared" si="12"/>
        <v>41787.103229404056</v>
      </c>
      <c r="Q234" s="215" cm="1">
        <f t="array" ref="Q234">IF(P234="-",0,P234/(1+'General inputs'!$H$32)^IFERROR(INDEX('MP Calculations'!$C$40:$C$130,MATCH(F234,'MP Calculations'!$D$40:$D$130,0),0),-1))</f>
        <v>80709.706757272346</v>
      </c>
    </row>
    <row r="235" spans="3:17" x14ac:dyDescent="0.25">
      <c r="C235" s="159"/>
      <c r="D235" s="165" t="s">
        <v>532</v>
      </c>
      <c r="E235" s="161">
        <v>39016</v>
      </c>
      <c r="F235" s="172" t="str">
        <f t="shared" si="11"/>
        <v>2006-07</v>
      </c>
      <c r="G235" s="68"/>
      <c r="H235" s="167" t="s">
        <v>279</v>
      </c>
      <c r="I235" s="173">
        <v>89592.114709699614</v>
      </c>
      <c r="J235" s="168">
        <f>IFERROR(MIN('MP Calculations'!$E$30/I235,1),"-")</f>
        <v>0.31014580161562261</v>
      </c>
      <c r="K235" s="12"/>
      <c r="L235" s="159">
        <v>19.395880999999999</v>
      </c>
      <c r="M235" s="159" t="s">
        <v>408</v>
      </c>
      <c r="N235" s="159">
        <v>2785</v>
      </c>
      <c r="O235" s="185">
        <f t="shared" si="10"/>
        <v>54017.528585</v>
      </c>
      <c r="P235" s="215">
        <f t="shared" si="12"/>
        <v>16753.309704289633</v>
      </c>
      <c r="Q235" s="215" cm="1">
        <f t="array" ref="Q235">IF(P235="-",0,P235/(1+'General inputs'!$H$32)^IFERROR(INDEX('MP Calculations'!$C$40:$C$130,MATCH(F235,'MP Calculations'!$D$40:$D$130,0),0),-1))</f>
        <v>32358.182524016636</v>
      </c>
    </row>
    <row r="236" spans="3:17" x14ac:dyDescent="0.25">
      <c r="C236" s="159"/>
      <c r="D236" s="165" t="s">
        <v>532</v>
      </c>
      <c r="E236" s="161">
        <v>39016</v>
      </c>
      <c r="F236" s="172" t="str">
        <f t="shared" si="11"/>
        <v>2006-07</v>
      </c>
      <c r="G236" s="68"/>
      <c r="H236" s="167" t="s">
        <v>279</v>
      </c>
      <c r="I236" s="173">
        <v>89592.114709699614</v>
      </c>
      <c r="J236" s="168">
        <f>IFERROR(MIN('MP Calculations'!$E$30/I236,1),"-")</f>
        <v>0.31014580161562261</v>
      </c>
      <c r="K236" s="12"/>
      <c r="L236" s="159">
        <v>29.227544000000002</v>
      </c>
      <c r="M236" s="159" t="s">
        <v>408</v>
      </c>
      <c r="N236" s="159">
        <v>2785</v>
      </c>
      <c r="O236" s="185">
        <f t="shared" si="10"/>
        <v>81398.710040000005</v>
      </c>
      <c r="P236" s="215">
        <f t="shared" si="12"/>
        <v>25245.46817583343</v>
      </c>
      <c r="Q236" s="215" cm="1">
        <f t="array" ref="Q236">IF(P236="-",0,P236/(1+'General inputs'!$H$32)^IFERROR(INDEX('MP Calculations'!$C$40:$C$130,MATCH(F236,'MP Calculations'!$D$40:$D$130,0),0),-1))</f>
        <v>48760.36326891918</v>
      </c>
    </row>
    <row r="237" spans="3:17" x14ac:dyDescent="0.25">
      <c r="C237" s="159"/>
      <c r="D237" s="165" t="s">
        <v>532</v>
      </c>
      <c r="E237" s="161">
        <v>39016</v>
      </c>
      <c r="F237" s="172" t="str">
        <f t="shared" si="11"/>
        <v>2006-07</v>
      </c>
      <c r="G237" s="68"/>
      <c r="H237" s="167" t="s">
        <v>279</v>
      </c>
      <c r="I237" s="173">
        <v>89592.114709699614</v>
      </c>
      <c r="J237" s="168">
        <f>IFERROR(MIN('MP Calculations'!$E$30/I237,1),"-")</f>
        <v>0.31014580161562261</v>
      </c>
      <c r="K237" s="12"/>
      <c r="L237" s="159">
        <v>29.381575000000002</v>
      </c>
      <c r="M237" s="159" t="s">
        <v>408</v>
      </c>
      <c r="N237" s="159">
        <v>2785</v>
      </c>
      <c r="O237" s="185">
        <f t="shared" si="10"/>
        <v>81827.686375000005</v>
      </c>
      <c r="P237" s="215">
        <f t="shared" si="12"/>
        <v>25378.513385126138</v>
      </c>
      <c r="Q237" s="215" cm="1">
        <f t="array" ref="Q237">IF(P237="-",0,P237/(1+'General inputs'!$H$32)^IFERROR(INDEX('MP Calculations'!$C$40:$C$130,MATCH(F237,'MP Calculations'!$D$40:$D$130,0),0),-1))</f>
        <v>49017.333458226734</v>
      </c>
    </row>
    <row r="238" spans="3:17" x14ac:dyDescent="0.25">
      <c r="C238" s="159"/>
      <c r="D238" s="165" t="s">
        <v>281</v>
      </c>
      <c r="E238" s="161">
        <v>39050</v>
      </c>
      <c r="F238" s="172" t="str">
        <f t="shared" si="11"/>
        <v>2006-07</v>
      </c>
      <c r="G238" s="68"/>
      <c r="H238" s="167" t="s">
        <v>279</v>
      </c>
      <c r="I238" s="173">
        <v>89592.114709699614</v>
      </c>
      <c r="J238" s="168">
        <f>IFERROR(MIN('MP Calculations'!$E$30/I238,1),"-")</f>
        <v>0.31014580161562261</v>
      </c>
      <c r="K238" s="12"/>
      <c r="L238" s="159">
        <v>91.641768999999996</v>
      </c>
      <c r="M238" s="159" t="s">
        <v>408</v>
      </c>
      <c r="N238" s="159">
        <v>809</v>
      </c>
      <c r="O238" s="185">
        <f t="shared" si="10"/>
        <v>74138.191120999996</v>
      </c>
      <c r="P238" s="215">
        <f t="shared" si="12"/>
        <v>22993.648715554777</v>
      </c>
      <c r="Q238" s="215" cm="1">
        <f t="array" ref="Q238">IF(P238="-",0,P238/(1+'General inputs'!$H$32)^IFERROR(INDEX('MP Calculations'!$C$40:$C$130,MATCH(F238,'MP Calculations'!$D$40:$D$130,0),0),-1))</f>
        <v>44411.08623692039</v>
      </c>
    </row>
    <row r="239" spans="3:17" x14ac:dyDescent="0.25">
      <c r="C239" s="159"/>
      <c r="D239" s="165" t="s">
        <v>281</v>
      </c>
      <c r="E239" s="161">
        <v>39050</v>
      </c>
      <c r="F239" s="172" t="str">
        <f t="shared" si="11"/>
        <v>2006-07</v>
      </c>
      <c r="G239" s="68"/>
      <c r="H239" s="167" t="s">
        <v>279</v>
      </c>
      <c r="I239" s="173">
        <v>89592.114709699614</v>
      </c>
      <c r="J239" s="168">
        <f>IFERROR(MIN('MP Calculations'!$E$30/I239,1),"-")</f>
        <v>0.31014580161562261</v>
      </c>
      <c r="K239" s="12"/>
      <c r="L239" s="159">
        <v>101.732125</v>
      </c>
      <c r="M239" s="159" t="s">
        <v>408</v>
      </c>
      <c r="N239" s="159">
        <v>809</v>
      </c>
      <c r="O239" s="185">
        <f t="shared" si="10"/>
        <v>82301.289124999996</v>
      </c>
      <c r="P239" s="215">
        <f t="shared" si="12"/>
        <v>25525.399289672248</v>
      </c>
      <c r="Q239" s="215" cm="1">
        <f t="array" ref="Q239">IF(P239="-",0,P239/(1+'General inputs'!$H$32)^IFERROR(INDEX('MP Calculations'!$C$40:$C$130,MATCH(F239,'MP Calculations'!$D$40:$D$130,0),0),-1))</f>
        <v>49301.036260443267</v>
      </c>
    </row>
    <row r="240" spans="3:17" x14ac:dyDescent="0.25">
      <c r="C240" s="159"/>
      <c r="D240" s="165" t="s">
        <v>281</v>
      </c>
      <c r="E240" s="161">
        <v>39050</v>
      </c>
      <c r="F240" s="172" t="str">
        <f t="shared" si="11"/>
        <v>2006-07</v>
      </c>
      <c r="G240" s="68"/>
      <c r="H240" s="167" t="s">
        <v>279</v>
      </c>
      <c r="I240" s="173">
        <v>89592.114709699614</v>
      </c>
      <c r="J240" s="168">
        <f>IFERROR(MIN('MP Calculations'!$E$30/I240,1),"-")</f>
        <v>0.31014580161562261</v>
      </c>
      <c r="K240" s="12"/>
      <c r="L240" s="159">
        <v>43.154003000000003</v>
      </c>
      <c r="M240" s="159" t="s">
        <v>408</v>
      </c>
      <c r="N240" s="159">
        <v>809</v>
      </c>
      <c r="O240" s="185">
        <f t="shared" si="10"/>
        <v>34911.588427000002</v>
      </c>
      <c r="P240" s="215">
        <f t="shared" si="12"/>
        <v>10827.682578366608</v>
      </c>
      <c r="Q240" s="215" cm="1">
        <f t="array" ref="Q240">IF(P240="-",0,P240/(1+'General inputs'!$H$32)^IFERROR(INDEX('MP Calculations'!$C$40:$C$130,MATCH(F240,'MP Calculations'!$D$40:$D$130,0),0),-1))</f>
        <v>20913.129128938155</v>
      </c>
    </row>
    <row r="241" spans="3:17" x14ac:dyDescent="0.25">
      <c r="C241" s="159"/>
      <c r="D241" s="165" t="s">
        <v>281</v>
      </c>
      <c r="E241" s="161">
        <v>39050</v>
      </c>
      <c r="F241" s="172" t="str">
        <f t="shared" si="11"/>
        <v>2006-07</v>
      </c>
      <c r="G241" s="68"/>
      <c r="H241" s="167" t="s">
        <v>279</v>
      </c>
      <c r="I241" s="173">
        <v>89592.114709699614</v>
      </c>
      <c r="J241" s="168">
        <f>IFERROR(MIN('MP Calculations'!$E$30/I241,1),"-")</f>
        <v>0.31014580161562261</v>
      </c>
      <c r="K241" s="12"/>
      <c r="L241" s="159">
        <v>46.501103000000001</v>
      </c>
      <c r="M241" s="159" t="s">
        <v>408</v>
      </c>
      <c r="N241" s="159">
        <v>809</v>
      </c>
      <c r="O241" s="185">
        <f t="shared" si="10"/>
        <v>37619.392327000001</v>
      </c>
      <c r="P241" s="215">
        <f t="shared" si="12"/>
        <v>11667.496589550017</v>
      </c>
      <c r="Q241" s="215" cm="1">
        <f t="array" ref="Q241">IF(P241="-",0,P241/(1+'General inputs'!$H$32)^IFERROR(INDEX('MP Calculations'!$C$40:$C$130,MATCH(F241,'MP Calculations'!$D$40:$D$130,0),0),-1))</f>
        <v>22535.188025941727</v>
      </c>
    </row>
    <row r="242" spans="3:17" x14ac:dyDescent="0.25">
      <c r="C242" s="159"/>
      <c r="D242" s="165" t="s">
        <v>281</v>
      </c>
      <c r="E242" s="161">
        <v>39050</v>
      </c>
      <c r="F242" s="172" t="str">
        <f t="shared" si="11"/>
        <v>2006-07</v>
      </c>
      <c r="G242" s="68"/>
      <c r="H242" s="167" t="s">
        <v>279</v>
      </c>
      <c r="I242" s="173">
        <v>89592.114709699614</v>
      </c>
      <c r="J242" s="168">
        <f>IFERROR(MIN('MP Calculations'!$E$30/I242,1),"-")</f>
        <v>0.31014580161562261</v>
      </c>
      <c r="K242" s="12"/>
      <c r="L242" s="159">
        <v>21.137316999999999</v>
      </c>
      <c r="M242" s="159" t="s">
        <v>408</v>
      </c>
      <c r="N242" s="159">
        <v>809</v>
      </c>
      <c r="O242" s="185">
        <f t="shared" si="10"/>
        <v>17100.089453000001</v>
      </c>
      <c r="P242" s="215">
        <f t="shared" si="12"/>
        <v>5303.5209510995383</v>
      </c>
      <c r="Q242" s="215" cm="1">
        <f t="array" ref="Q242">IF(P242="-",0,P242/(1+'General inputs'!$H$32)^IFERROR(INDEX('MP Calculations'!$C$40:$C$130,MATCH(F242,'MP Calculations'!$D$40:$D$130,0),0),-1))</f>
        <v>10243.486331043256</v>
      </c>
    </row>
    <row r="243" spans="3:17" x14ac:dyDescent="0.25">
      <c r="C243" s="159"/>
      <c r="D243" s="165" t="s">
        <v>281</v>
      </c>
      <c r="E243" s="161">
        <v>39050</v>
      </c>
      <c r="F243" s="172" t="str">
        <f t="shared" si="11"/>
        <v>2006-07</v>
      </c>
      <c r="G243" s="68"/>
      <c r="H243" s="167" t="s">
        <v>279</v>
      </c>
      <c r="I243" s="173">
        <v>89592.114709699614</v>
      </c>
      <c r="J243" s="168">
        <f>IFERROR(MIN('MP Calculations'!$E$30/I243,1),"-")</f>
        <v>0.31014580161562261</v>
      </c>
      <c r="K243" s="12"/>
      <c r="L243" s="159">
        <v>105.315682</v>
      </c>
      <c r="M243" s="159" t="s">
        <v>408</v>
      </c>
      <c r="N243" s="159">
        <v>809</v>
      </c>
      <c r="O243" s="185">
        <f t="shared" si="10"/>
        <v>85200.386738000001</v>
      </c>
      <c r="P243" s="215">
        <f t="shared" si="12"/>
        <v>26424.542242818072</v>
      </c>
      <c r="Q243" s="215" cm="1">
        <f t="array" ref="Q243">IF(P243="-",0,P243/(1+'General inputs'!$H$32)^IFERROR(INDEX('MP Calculations'!$C$40:$C$130,MATCH(F243,'MP Calculations'!$D$40:$D$130,0),0),-1))</f>
        <v>51037.68605123811</v>
      </c>
    </row>
    <row r="244" spans="3:17" x14ac:dyDescent="0.25">
      <c r="C244" s="159"/>
      <c r="D244" s="165" t="s">
        <v>533</v>
      </c>
      <c r="E244" s="161">
        <v>39052</v>
      </c>
      <c r="F244" s="172" t="str">
        <f t="shared" si="11"/>
        <v>2006-07</v>
      </c>
      <c r="G244" s="68"/>
      <c r="H244" s="167" t="s">
        <v>279</v>
      </c>
      <c r="I244" s="173">
        <v>89592.114709699614</v>
      </c>
      <c r="J244" s="168">
        <f>IFERROR(MIN('MP Calculations'!$E$30/I244,1),"-")</f>
        <v>0.31014580161562261</v>
      </c>
      <c r="K244" s="12"/>
      <c r="L244" s="159">
        <v>1</v>
      </c>
      <c r="M244" s="159" t="s">
        <v>409</v>
      </c>
      <c r="N244" s="159">
        <v>5643.84</v>
      </c>
      <c r="O244" s="185">
        <f t="shared" si="10"/>
        <v>5643.84</v>
      </c>
      <c r="P244" s="215">
        <f t="shared" si="12"/>
        <v>1750.4132809903156</v>
      </c>
      <c r="Q244" s="215" cm="1">
        <f t="array" ref="Q244">IF(P244="-",0,P244/(1+'General inputs'!$H$32)^IFERROR(INDEX('MP Calculations'!$C$40:$C$130,MATCH(F244,'MP Calculations'!$D$40:$D$130,0),0),-1))</f>
        <v>3380.8359923200669</v>
      </c>
    </row>
    <row r="245" spans="3:17" x14ac:dyDescent="0.25">
      <c r="C245" s="159"/>
      <c r="D245" s="165" t="s">
        <v>534</v>
      </c>
      <c r="E245" s="161">
        <v>39096</v>
      </c>
      <c r="F245" s="172" t="str">
        <f t="shared" si="11"/>
        <v>2006-07</v>
      </c>
      <c r="G245" s="68"/>
      <c r="H245" s="167" t="s">
        <v>279</v>
      </c>
      <c r="I245" s="173">
        <v>89592.114709699614</v>
      </c>
      <c r="J245" s="168">
        <f>IFERROR(MIN('MP Calculations'!$E$30/I245,1),"-")</f>
        <v>0.31014580161562261</v>
      </c>
      <c r="K245" s="12"/>
      <c r="L245" s="159">
        <v>1</v>
      </c>
      <c r="M245" s="159" t="s">
        <v>409</v>
      </c>
      <c r="N245" s="159">
        <v>7742.65</v>
      </c>
      <c r="O245" s="185">
        <f t="shared" si="10"/>
        <v>7742.65</v>
      </c>
      <c r="P245" s="215">
        <f t="shared" si="12"/>
        <v>2401.3503908792004</v>
      </c>
      <c r="Q245" s="215" cm="1">
        <f t="array" ref="Q245">IF(P245="-",0,P245/(1+'General inputs'!$H$32)^IFERROR(INDEX('MP Calculations'!$C$40:$C$130,MATCH(F245,'MP Calculations'!$D$40:$D$130,0),0),-1))</f>
        <v>4638.0885701821753</v>
      </c>
    </row>
    <row r="246" spans="3:17" x14ac:dyDescent="0.25">
      <c r="C246" s="159"/>
      <c r="D246" s="165" t="s">
        <v>535</v>
      </c>
      <c r="E246" s="161">
        <v>39114</v>
      </c>
      <c r="F246" s="172" t="str">
        <f t="shared" si="11"/>
        <v>2006-07</v>
      </c>
      <c r="G246" s="68"/>
      <c r="H246" s="167" t="s">
        <v>279</v>
      </c>
      <c r="I246" s="173">
        <v>89592.114709699614</v>
      </c>
      <c r="J246" s="168">
        <f>IFERROR(MIN('MP Calculations'!$E$30/I246,1),"-")</f>
        <v>0.31014580161562261</v>
      </c>
      <c r="K246" s="12"/>
      <c r="L246" s="159">
        <v>1</v>
      </c>
      <c r="M246" s="159" t="s">
        <v>409</v>
      </c>
      <c r="N246" s="159">
        <v>14668.33</v>
      </c>
      <c r="O246" s="185">
        <f t="shared" si="10"/>
        <v>14668.33</v>
      </c>
      <c r="P246" s="215">
        <f t="shared" si="12"/>
        <v>4549.3209662124855</v>
      </c>
      <c r="Q246" s="215" cm="1">
        <f t="array" ref="Q246">IF(P246="-",0,P246/(1+'General inputs'!$H$32)^IFERROR(INDEX('MP Calculations'!$C$40:$C$130,MATCH(F246,'MP Calculations'!$D$40:$D$130,0),0),-1))</f>
        <v>8786.7866578833218</v>
      </c>
    </row>
    <row r="247" spans="3:17" x14ac:dyDescent="0.25">
      <c r="C247" s="159"/>
      <c r="D247" s="165" t="s">
        <v>536</v>
      </c>
      <c r="E247" s="161">
        <v>39114</v>
      </c>
      <c r="F247" s="172" t="str">
        <f t="shared" si="11"/>
        <v>2006-07</v>
      </c>
      <c r="G247" s="68"/>
      <c r="H247" s="167" t="s">
        <v>279</v>
      </c>
      <c r="I247" s="173">
        <v>89592.114709699614</v>
      </c>
      <c r="J247" s="168">
        <f>IFERROR(MIN('MP Calculations'!$E$30/I247,1),"-")</f>
        <v>0.31014580161562261</v>
      </c>
      <c r="K247" s="12"/>
      <c r="L247" s="159">
        <v>1</v>
      </c>
      <c r="M247" s="159" t="s">
        <v>409</v>
      </c>
      <c r="N247" s="159">
        <v>3844.26</v>
      </c>
      <c r="O247" s="185">
        <f t="shared" si="10"/>
        <v>3844.26</v>
      </c>
      <c r="P247" s="215">
        <f t="shared" si="12"/>
        <v>1192.2810993188734</v>
      </c>
      <c r="Q247" s="215" cm="1">
        <f t="array" ref="Q247">IF(P247="-",0,P247/(1+'General inputs'!$H$32)^IFERROR(INDEX('MP Calculations'!$C$40:$C$130,MATCH(F247,'MP Calculations'!$D$40:$D$130,0),0),-1))</f>
        <v>2302.8315068882785</v>
      </c>
    </row>
    <row r="248" spans="3:17" x14ac:dyDescent="0.25">
      <c r="C248" s="159"/>
      <c r="D248" s="165" t="s">
        <v>537</v>
      </c>
      <c r="E248" s="161">
        <v>39114</v>
      </c>
      <c r="F248" s="172" t="str">
        <f t="shared" si="11"/>
        <v>2006-07</v>
      </c>
      <c r="G248" s="68"/>
      <c r="H248" s="167" t="s">
        <v>279</v>
      </c>
      <c r="I248" s="173">
        <v>89592.114709699614</v>
      </c>
      <c r="J248" s="168">
        <f>IFERROR(MIN('MP Calculations'!$E$30/I248,1),"-")</f>
        <v>0.31014580161562261</v>
      </c>
      <c r="K248" s="12"/>
      <c r="L248" s="159">
        <v>1</v>
      </c>
      <c r="M248" s="159" t="s">
        <v>409</v>
      </c>
      <c r="N248" s="159">
        <v>3136.13</v>
      </c>
      <c r="O248" s="185">
        <f t="shared" si="10"/>
        <v>3136.13</v>
      </c>
      <c r="P248" s="215">
        <f t="shared" si="12"/>
        <v>972.65755282080261</v>
      </c>
      <c r="Q248" s="215" cm="1">
        <f t="array" ref="Q248">IF(P248="-",0,P248/(1+'General inputs'!$H$32)^IFERROR(INDEX('MP Calculations'!$C$40:$C$130,MATCH(F248,'MP Calculations'!$D$40:$D$130,0),0),-1))</f>
        <v>1878.6395752882315</v>
      </c>
    </row>
    <row r="249" spans="3:17" x14ac:dyDescent="0.25">
      <c r="C249" s="159"/>
      <c r="D249" s="165" t="s">
        <v>538</v>
      </c>
      <c r="E249" s="161">
        <v>39114</v>
      </c>
      <c r="F249" s="172" t="str">
        <f t="shared" si="11"/>
        <v>2006-07</v>
      </c>
      <c r="G249" s="68"/>
      <c r="H249" s="167" t="s">
        <v>279</v>
      </c>
      <c r="I249" s="173">
        <v>89592.114709699614</v>
      </c>
      <c r="J249" s="168">
        <f>IFERROR(MIN('MP Calculations'!$E$30/I249,1),"-")</f>
        <v>0.31014580161562261</v>
      </c>
      <c r="K249" s="12"/>
      <c r="L249" s="159">
        <v>1</v>
      </c>
      <c r="M249" s="159" t="s">
        <v>409</v>
      </c>
      <c r="N249" s="159">
        <v>3240.06</v>
      </c>
      <c r="O249" s="185">
        <f t="shared" si="10"/>
        <v>3240.06</v>
      </c>
      <c r="P249" s="215">
        <f t="shared" si="12"/>
        <v>1004.8910059827142</v>
      </c>
      <c r="Q249" s="215" cm="1">
        <f t="array" ref="Q249">IF(P249="-",0,P249/(1+'General inputs'!$H$32)^IFERROR(INDEX('MP Calculations'!$C$40:$C$130,MATCH(F249,'MP Calculations'!$D$40:$D$130,0),0),-1))</f>
        <v>1940.8968831994805</v>
      </c>
    </row>
    <row r="250" spans="3:17" x14ac:dyDescent="0.25">
      <c r="C250" s="159"/>
      <c r="D250" s="165" t="s">
        <v>281</v>
      </c>
      <c r="E250" s="161">
        <v>39147</v>
      </c>
      <c r="F250" s="172" t="str">
        <f t="shared" si="11"/>
        <v>2006-07</v>
      </c>
      <c r="G250" s="68"/>
      <c r="H250" s="167" t="s">
        <v>279</v>
      </c>
      <c r="I250" s="173">
        <v>89592.114709699614</v>
      </c>
      <c r="J250" s="168">
        <f>IFERROR(MIN('MP Calculations'!$E$30/I250,1),"-")</f>
        <v>0.31014580161562261</v>
      </c>
      <c r="K250" s="12"/>
      <c r="L250" s="159">
        <v>82.483440999999999</v>
      </c>
      <c r="M250" s="159" t="s">
        <v>408</v>
      </c>
      <c r="N250" s="159">
        <v>809</v>
      </c>
      <c r="O250" s="185">
        <f t="shared" si="10"/>
        <v>66729.103768999994</v>
      </c>
      <c r="P250" s="215">
        <f t="shared" si="12"/>
        <v>20695.751379528567</v>
      </c>
      <c r="Q250" s="215" cm="1">
        <f t="array" ref="Q250">IF(P250="-",0,P250/(1+'General inputs'!$H$32)^IFERROR(INDEX('MP Calculations'!$C$40:$C$130,MATCH(F250,'MP Calculations'!$D$40:$D$130,0),0),-1))</f>
        <v>39972.81208494497</v>
      </c>
    </row>
    <row r="251" spans="3:17" x14ac:dyDescent="0.25">
      <c r="C251" s="159"/>
      <c r="D251" s="165" t="s">
        <v>281</v>
      </c>
      <c r="E251" s="161">
        <v>39147</v>
      </c>
      <c r="F251" s="172" t="str">
        <f t="shared" si="11"/>
        <v>2006-07</v>
      </c>
      <c r="G251" s="68"/>
      <c r="H251" s="167" t="s">
        <v>279</v>
      </c>
      <c r="I251" s="173">
        <v>89592.114709699614</v>
      </c>
      <c r="J251" s="168">
        <f>IFERROR(MIN('MP Calculations'!$E$30/I251,1),"-")</f>
        <v>0.31014580161562261</v>
      </c>
      <c r="K251" s="12"/>
      <c r="L251" s="159">
        <v>71.017294000000007</v>
      </c>
      <c r="M251" s="159" t="s">
        <v>408</v>
      </c>
      <c r="N251" s="159">
        <v>809</v>
      </c>
      <c r="O251" s="185">
        <f t="shared" si="10"/>
        <v>57452.990846000008</v>
      </c>
      <c r="P251" s="215">
        <f t="shared" si="12"/>
        <v>17818.803901147701</v>
      </c>
      <c r="Q251" s="215" cm="1">
        <f t="array" ref="Q251">IF(P251="-",0,P251/(1+'General inputs'!$H$32)^IFERROR(INDEX('MP Calculations'!$C$40:$C$130,MATCH(F251,'MP Calculations'!$D$40:$D$130,0),0),-1))</f>
        <v>34416.131449260109</v>
      </c>
    </row>
    <row r="252" spans="3:17" x14ac:dyDescent="0.25">
      <c r="C252" s="159"/>
      <c r="D252" s="165" t="s">
        <v>539</v>
      </c>
      <c r="E252" s="161">
        <v>39203</v>
      </c>
      <c r="F252" s="172" t="str">
        <f t="shared" si="11"/>
        <v>2006-07</v>
      </c>
      <c r="G252" s="68"/>
      <c r="H252" s="167" t="s">
        <v>279</v>
      </c>
      <c r="I252" s="173">
        <v>89592.114709699614</v>
      </c>
      <c r="J252" s="168">
        <f>IFERROR(MIN('MP Calculations'!$E$30/I252,1),"-")</f>
        <v>0.31014580161562261</v>
      </c>
      <c r="K252" s="12"/>
      <c r="L252" s="159">
        <v>1</v>
      </c>
      <c r="M252" s="159" t="s">
        <v>409</v>
      </c>
      <c r="N252" s="159">
        <v>2859</v>
      </c>
      <c r="O252" s="185">
        <f t="shared" si="10"/>
        <v>2859</v>
      </c>
      <c r="P252" s="215">
        <f t="shared" si="12"/>
        <v>886.70684681906505</v>
      </c>
      <c r="Q252" s="215" cm="1">
        <f t="array" ref="Q252">IF(P252="-",0,P252/(1+'General inputs'!$H$32)^IFERROR(INDEX('MP Calculations'!$C$40:$C$130,MATCH(F252,'MP Calculations'!$D$40:$D$130,0),0),-1))</f>
        <v>1712.630071377479</v>
      </c>
    </row>
    <row r="253" spans="3:17" x14ac:dyDescent="0.25">
      <c r="C253" s="159"/>
      <c r="D253" s="165" t="s">
        <v>540</v>
      </c>
      <c r="E253" s="161">
        <v>39203</v>
      </c>
      <c r="F253" s="172" t="str">
        <f t="shared" si="11"/>
        <v>2006-07</v>
      </c>
      <c r="G253" s="68"/>
      <c r="H253" s="167" t="s">
        <v>279</v>
      </c>
      <c r="I253" s="173">
        <v>89592.114709699614</v>
      </c>
      <c r="J253" s="168">
        <f>IFERROR(MIN('MP Calculations'!$E$30/I253,1),"-")</f>
        <v>0.31014580161562261</v>
      </c>
      <c r="K253" s="12"/>
      <c r="L253" s="159">
        <v>1</v>
      </c>
      <c r="M253" s="159" t="s">
        <v>409</v>
      </c>
      <c r="N253" s="159">
        <v>14831.82</v>
      </c>
      <c r="O253" s="185">
        <f t="shared" si="10"/>
        <v>14831.82</v>
      </c>
      <c r="P253" s="215">
        <f t="shared" si="12"/>
        <v>4600.0267033186237</v>
      </c>
      <c r="Q253" s="215" cm="1">
        <f t="array" ref="Q253">IF(P253="-",0,P253/(1+'General inputs'!$H$32)^IFERROR(INDEX('MP Calculations'!$C$40:$C$130,MATCH(F253,'MP Calculations'!$D$40:$D$130,0),0),-1))</f>
        <v>8884.7222613703816</v>
      </c>
    </row>
    <row r="254" spans="3:17" x14ac:dyDescent="0.25">
      <c r="C254" s="159"/>
      <c r="D254" s="165" t="s">
        <v>541</v>
      </c>
      <c r="E254" s="161">
        <v>39203</v>
      </c>
      <c r="F254" s="172" t="str">
        <f t="shared" si="11"/>
        <v>2006-07</v>
      </c>
      <c r="G254" s="68"/>
      <c r="H254" s="167" t="s">
        <v>279</v>
      </c>
      <c r="I254" s="173">
        <v>89592.114709699614</v>
      </c>
      <c r="J254" s="168">
        <f>IFERROR(MIN('MP Calculations'!$E$30/I254,1),"-")</f>
        <v>0.31014580161562261</v>
      </c>
      <c r="K254" s="12"/>
      <c r="L254" s="159">
        <v>1</v>
      </c>
      <c r="M254" s="159" t="s">
        <v>409</v>
      </c>
      <c r="N254" s="159">
        <v>3049.49</v>
      </c>
      <c r="O254" s="185">
        <f t="shared" si="10"/>
        <v>3049.49</v>
      </c>
      <c r="P254" s="215">
        <f t="shared" si="12"/>
        <v>945.78652056882493</v>
      </c>
      <c r="Q254" s="215" cm="1">
        <f t="array" ref="Q254">IF(P254="-",0,P254/(1+'General inputs'!$H$32)^IFERROR(INDEX('MP Calculations'!$C$40:$C$130,MATCH(F254,'MP Calculations'!$D$40:$D$130,0),0),-1))</f>
        <v>1826.7395160422905</v>
      </c>
    </row>
    <row r="255" spans="3:17" x14ac:dyDescent="0.25">
      <c r="C255" s="159"/>
      <c r="D255" s="165" t="s">
        <v>542</v>
      </c>
      <c r="E255" s="161">
        <v>39234</v>
      </c>
      <c r="F255" s="172" t="str">
        <f t="shared" si="11"/>
        <v>2006-07</v>
      </c>
      <c r="G255" s="68"/>
      <c r="H255" s="167" t="s">
        <v>279</v>
      </c>
      <c r="I255" s="173">
        <v>89592.114709699614</v>
      </c>
      <c r="J255" s="168">
        <f>IFERROR(MIN('MP Calculations'!$E$30/I255,1),"-")</f>
        <v>0.31014580161562261</v>
      </c>
      <c r="K255" s="12"/>
      <c r="L255" s="159">
        <v>1</v>
      </c>
      <c r="M255" s="159" t="s">
        <v>409</v>
      </c>
      <c r="N255" s="159">
        <v>4827.2299999999996</v>
      </c>
      <c r="O255" s="185">
        <f t="shared" si="10"/>
        <v>4827.2299999999996</v>
      </c>
      <c r="P255" s="215">
        <f t="shared" si="12"/>
        <v>1497.1451179329817</v>
      </c>
      <c r="Q255" s="215" cm="1">
        <f t="array" ref="Q255">IF(P255="-",0,P255/(1+'General inputs'!$H$32)^IFERROR(INDEX('MP Calculations'!$C$40:$C$130,MATCH(F255,'MP Calculations'!$D$40:$D$130,0),0),-1))</f>
        <v>2891.661161054742</v>
      </c>
    </row>
    <row r="256" spans="3:17" x14ac:dyDescent="0.25">
      <c r="C256" s="159"/>
      <c r="D256" s="165" t="s">
        <v>543</v>
      </c>
      <c r="E256" s="161">
        <v>39234</v>
      </c>
      <c r="F256" s="172" t="str">
        <f t="shared" si="11"/>
        <v>2006-07</v>
      </c>
      <c r="G256" s="68"/>
      <c r="H256" s="167" t="s">
        <v>279</v>
      </c>
      <c r="I256" s="173">
        <v>89592.114709699614</v>
      </c>
      <c r="J256" s="168">
        <f>IFERROR(MIN('MP Calculations'!$E$30/I256,1),"-")</f>
        <v>0.31014580161562261</v>
      </c>
      <c r="K256" s="12"/>
      <c r="L256" s="159">
        <v>1</v>
      </c>
      <c r="M256" s="159" t="s">
        <v>409</v>
      </c>
      <c r="N256" s="159">
        <v>4066.94</v>
      </c>
      <c r="O256" s="185">
        <f t="shared" si="10"/>
        <v>4066.94</v>
      </c>
      <c r="P256" s="215">
        <f t="shared" si="12"/>
        <v>1261.3443664226402</v>
      </c>
      <c r="Q256" s="215" cm="1">
        <f t="array" ref="Q256">IF(P256="-",0,P256/(1+'General inputs'!$H$32)^IFERROR(INDEX('MP Calculations'!$C$40:$C$130,MATCH(F256,'MP Calculations'!$D$40:$D$130,0),0),-1))</f>
        <v>2436.223764423898</v>
      </c>
    </row>
    <row r="257" spans="3:17" x14ac:dyDescent="0.25">
      <c r="C257" s="159"/>
      <c r="D257" s="165" t="s">
        <v>544</v>
      </c>
      <c r="E257" s="161">
        <v>39234</v>
      </c>
      <c r="F257" s="172" t="str">
        <f t="shared" si="11"/>
        <v>2006-07</v>
      </c>
      <c r="G257" s="68"/>
      <c r="H257" s="167" t="s">
        <v>279</v>
      </c>
      <c r="I257" s="173">
        <v>89592.114709699614</v>
      </c>
      <c r="J257" s="168">
        <f>IFERROR(MIN('MP Calculations'!$E$30/I257,1),"-")</f>
        <v>0.31014580161562261</v>
      </c>
      <c r="K257" s="12"/>
      <c r="L257" s="159">
        <v>1</v>
      </c>
      <c r="M257" s="159" t="s">
        <v>409</v>
      </c>
      <c r="N257" s="159">
        <v>4257.9399999999996</v>
      </c>
      <c r="O257" s="185">
        <f t="shared" ref="O257:O320" si="13">IF(N257="","-",L257*N257)</f>
        <v>4257.9399999999996</v>
      </c>
      <c r="P257" s="215">
        <f t="shared" si="12"/>
        <v>1320.5822145312241</v>
      </c>
      <c r="Q257" s="215" cm="1">
        <f t="array" ref="Q257">IF(P257="-",0,P257/(1+'General inputs'!$H$32)^IFERROR(INDEX('MP Calculations'!$C$40:$C$130,MATCH(F257,'MP Calculations'!$D$40:$D$130,0),0),-1))</f>
        <v>2550.6387149776224</v>
      </c>
    </row>
    <row r="258" spans="3:17" x14ac:dyDescent="0.25">
      <c r="C258" s="159"/>
      <c r="D258" s="165" t="s">
        <v>545</v>
      </c>
      <c r="E258" s="161">
        <v>39294</v>
      </c>
      <c r="F258" s="172" t="str">
        <f t="shared" si="11"/>
        <v>2007-08</v>
      </c>
      <c r="G258" s="68"/>
      <c r="H258" s="167" t="s">
        <v>279</v>
      </c>
      <c r="I258" s="173">
        <v>89592.114709699614</v>
      </c>
      <c r="J258" s="168">
        <f>IFERROR(MIN('MP Calculations'!$E$30/I258,1),"-")</f>
        <v>0.31014580161562261</v>
      </c>
      <c r="K258" s="12"/>
      <c r="L258" s="159">
        <v>1</v>
      </c>
      <c r="M258" s="159" t="s">
        <v>409</v>
      </c>
      <c r="N258" s="159">
        <v>13238.9</v>
      </c>
      <c r="O258" s="185">
        <f t="shared" si="13"/>
        <v>13238.9</v>
      </c>
      <c r="P258" s="215">
        <f t="shared" si="12"/>
        <v>4105.9892530090656</v>
      </c>
      <c r="Q258" s="215" cm="1">
        <f t="array" ref="Q258">IF(P258="-",0,P258/(1+'General inputs'!$H$32)^IFERROR(INDEX('MP Calculations'!$C$40:$C$130,MATCH(F258,'MP Calculations'!$D$40:$D$130,0),0),-1))</f>
        <v>7610.8575377883035</v>
      </c>
    </row>
    <row r="259" spans="3:17" x14ac:dyDescent="0.25">
      <c r="C259" s="159"/>
      <c r="D259" s="165" t="s">
        <v>283</v>
      </c>
      <c r="E259" s="161">
        <v>39366</v>
      </c>
      <c r="F259" s="172" t="str">
        <f t="shared" si="11"/>
        <v>2007-08</v>
      </c>
      <c r="G259" s="68"/>
      <c r="H259" s="167" t="s">
        <v>279</v>
      </c>
      <c r="I259" s="173">
        <v>89592.114709699614</v>
      </c>
      <c r="J259" s="168">
        <f>IFERROR(MIN('MP Calculations'!$E$30/I259,1),"-")</f>
        <v>0.31014580161562261</v>
      </c>
      <c r="K259" s="12"/>
      <c r="L259" s="159">
        <v>5.0012280000000002</v>
      </c>
      <c r="M259" s="159" t="s">
        <v>408</v>
      </c>
      <c r="N259" s="159">
        <v>622</v>
      </c>
      <c r="O259" s="185">
        <f t="shared" si="13"/>
        <v>3110.7638160000001</v>
      </c>
      <c r="P259" s="215">
        <f t="shared" si="12"/>
        <v>964.79033735019323</v>
      </c>
      <c r="Q259" s="215" cm="1">
        <f t="array" ref="Q259">IF(P259="-",0,P259/(1+'General inputs'!$H$32)^IFERROR(INDEX('MP Calculations'!$C$40:$C$130,MATCH(F259,'MP Calculations'!$D$40:$D$130,0),0),-1))</f>
        <v>1788.3343961569853</v>
      </c>
    </row>
    <row r="260" spans="3:17" x14ac:dyDescent="0.25">
      <c r="C260" s="159"/>
      <c r="D260" s="165" t="s">
        <v>284</v>
      </c>
      <c r="E260" s="161">
        <v>39378</v>
      </c>
      <c r="F260" s="172" t="str">
        <f t="shared" si="11"/>
        <v>2007-08</v>
      </c>
      <c r="G260" s="68"/>
      <c r="H260" s="167" t="s">
        <v>279</v>
      </c>
      <c r="I260" s="173">
        <v>89592.114709699614</v>
      </c>
      <c r="J260" s="168">
        <f>IFERROR(MIN('MP Calculations'!$E$30/I260,1),"-")</f>
        <v>0.31014580161562261</v>
      </c>
      <c r="K260" s="12"/>
      <c r="L260" s="159">
        <v>4.3111639999999998</v>
      </c>
      <c r="M260" s="159" t="s">
        <v>408</v>
      </c>
      <c r="N260" s="159">
        <v>405</v>
      </c>
      <c r="O260" s="185">
        <f t="shared" si="13"/>
        <v>1746.0214199999998</v>
      </c>
      <c r="P260" s="215">
        <f t="shared" si="12"/>
        <v>541.5212129439476</v>
      </c>
      <c r="Q260" s="215" cm="1">
        <f t="array" ref="Q260">IF(P260="-",0,P260/(1+'General inputs'!$H$32)^IFERROR(INDEX('MP Calculations'!$C$40:$C$130,MATCH(F260,'MP Calculations'!$D$40:$D$130,0),0),-1))</f>
        <v>1003.7631740965517</v>
      </c>
    </row>
    <row r="261" spans="3:17" x14ac:dyDescent="0.25">
      <c r="C261" s="159"/>
      <c r="D261" s="165" t="s">
        <v>546</v>
      </c>
      <c r="E261" s="161">
        <v>39387</v>
      </c>
      <c r="F261" s="172" t="str">
        <f t="shared" si="11"/>
        <v>2007-08</v>
      </c>
      <c r="G261" s="68"/>
      <c r="H261" s="167" t="s">
        <v>279</v>
      </c>
      <c r="I261" s="173">
        <v>89592.114709699614</v>
      </c>
      <c r="J261" s="168">
        <f>IFERROR(MIN('MP Calculations'!$E$30/I261,1),"-")</f>
        <v>0.31014580161562261</v>
      </c>
      <c r="K261" s="12"/>
      <c r="L261" s="159">
        <v>1</v>
      </c>
      <c r="M261" s="159" t="s">
        <v>409</v>
      </c>
      <c r="N261" s="159">
        <v>79515.740000000005</v>
      </c>
      <c r="O261" s="185">
        <f t="shared" si="13"/>
        <v>79515.740000000005</v>
      </c>
      <c r="P261" s="215">
        <f t="shared" si="12"/>
        <v>24661.47292335943</v>
      </c>
      <c r="Q261" s="215" cm="1">
        <f t="array" ref="Q261">IF(P261="-",0,P261/(1+'General inputs'!$H$32)^IFERROR(INDEX('MP Calculations'!$C$40:$C$130,MATCH(F261,'MP Calculations'!$D$40:$D$130,0),0),-1))</f>
        <v>45712.48133544442</v>
      </c>
    </row>
    <row r="262" spans="3:17" x14ac:dyDescent="0.25">
      <c r="C262" s="159"/>
      <c r="D262" s="165" t="s">
        <v>547</v>
      </c>
      <c r="E262" s="161">
        <v>39387</v>
      </c>
      <c r="F262" s="172" t="str">
        <f t="shared" si="11"/>
        <v>2007-08</v>
      </c>
      <c r="G262" s="68"/>
      <c r="H262" s="167" t="s">
        <v>279</v>
      </c>
      <c r="I262" s="173">
        <v>89592.114709699614</v>
      </c>
      <c r="J262" s="168">
        <f>IFERROR(MIN('MP Calculations'!$E$30/I262,1),"-")</f>
        <v>0.31014580161562261</v>
      </c>
      <c r="K262" s="12"/>
      <c r="L262" s="159">
        <v>1</v>
      </c>
      <c r="M262" s="159" t="s">
        <v>409</v>
      </c>
      <c r="N262" s="159">
        <v>7082.13</v>
      </c>
      <c r="O262" s="185">
        <f t="shared" si="13"/>
        <v>7082.13</v>
      </c>
      <c r="P262" s="215">
        <f t="shared" si="12"/>
        <v>2196.4928859960492</v>
      </c>
      <c r="Q262" s="215" cm="1">
        <f t="array" ref="Q262">IF(P262="-",0,P262/(1+'General inputs'!$H$32)^IFERROR(INDEX('MP Calculations'!$C$40:$C$130,MATCH(F262,'MP Calculations'!$D$40:$D$130,0),0),-1))</f>
        <v>4071.4169979451981</v>
      </c>
    </row>
    <row r="263" spans="3:17" x14ac:dyDescent="0.25">
      <c r="C263" s="159"/>
      <c r="D263" s="165" t="s">
        <v>548</v>
      </c>
      <c r="E263" s="161">
        <v>39387</v>
      </c>
      <c r="F263" s="172" t="str">
        <f t="shared" si="11"/>
        <v>2007-08</v>
      </c>
      <c r="G263" s="68"/>
      <c r="H263" s="167" t="s">
        <v>279</v>
      </c>
      <c r="I263" s="173">
        <v>89592.114709699614</v>
      </c>
      <c r="J263" s="168">
        <f>IFERROR(MIN('MP Calculations'!$E$30/I263,1),"-")</f>
        <v>0.31014580161562261</v>
      </c>
      <c r="K263" s="12"/>
      <c r="L263" s="159">
        <v>1</v>
      </c>
      <c r="M263" s="159" t="s">
        <v>409</v>
      </c>
      <c r="N263" s="159">
        <v>27604.86</v>
      </c>
      <c r="O263" s="185">
        <f t="shared" si="13"/>
        <v>27604.86</v>
      </c>
      <c r="P263" s="215">
        <f t="shared" si="12"/>
        <v>8561.5314331870359</v>
      </c>
      <c r="Q263" s="215" cm="1">
        <f t="array" ref="Q263">IF(P263="-",0,P263/(1+'General inputs'!$H$32)^IFERROR(INDEX('MP Calculations'!$C$40:$C$130,MATCH(F263,'MP Calculations'!$D$40:$D$130,0),0),-1))</f>
        <v>15869.646028793242</v>
      </c>
    </row>
    <row r="264" spans="3:17" x14ac:dyDescent="0.25">
      <c r="C264" s="159"/>
      <c r="D264" s="165" t="s">
        <v>283</v>
      </c>
      <c r="E264" s="161">
        <v>39400</v>
      </c>
      <c r="F264" s="172" t="str">
        <f t="shared" si="11"/>
        <v>2007-08</v>
      </c>
      <c r="G264" s="68"/>
      <c r="H264" s="167" t="s">
        <v>279</v>
      </c>
      <c r="I264" s="173">
        <v>89592.114709699614</v>
      </c>
      <c r="J264" s="168">
        <f>IFERROR(MIN('MP Calculations'!$E$30/I264,1),"-")</f>
        <v>0.31014580161562261</v>
      </c>
      <c r="K264" s="12"/>
      <c r="L264" s="159">
        <v>8.0004000000000008</v>
      </c>
      <c r="M264" s="159" t="s">
        <v>408</v>
      </c>
      <c r="N264" s="159">
        <v>622</v>
      </c>
      <c r="O264" s="185">
        <f t="shared" si="13"/>
        <v>4976.2488000000003</v>
      </c>
      <c r="P264" s="215">
        <f t="shared" si="12"/>
        <v>1543.3626731147801</v>
      </c>
      <c r="Q264" s="215" cm="1">
        <f t="array" ref="Q264">IF(P264="-",0,P264/(1+'General inputs'!$H$32)^IFERROR(INDEX('MP Calculations'!$C$40:$C$130,MATCH(F264,'MP Calculations'!$D$40:$D$130,0),0),-1))</f>
        <v>2860.7754941415078</v>
      </c>
    </row>
    <row r="265" spans="3:17" x14ac:dyDescent="0.25">
      <c r="C265" s="159"/>
      <c r="D265" s="165" t="s">
        <v>281</v>
      </c>
      <c r="E265" s="161">
        <v>39419</v>
      </c>
      <c r="F265" s="172" t="str">
        <f t="shared" si="11"/>
        <v>2007-08</v>
      </c>
      <c r="G265" s="68"/>
      <c r="H265" s="167" t="s">
        <v>279</v>
      </c>
      <c r="I265" s="173">
        <v>89592.114709699614</v>
      </c>
      <c r="J265" s="168">
        <f>IFERROR(MIN('MP Calculations'!$E$30/I265,1),"-")</f>
        <v>0.31014580161562261</v>
      </c>
      <c r="K265" s="12"/>
      <c r="L265" s="159">
        <v>3.0008430000000001</v>
      </c>
      <c r="M265" s="159" t="s">
        <v>408</v>
      </c>
      <c r="N265" s="159">
        <v>809</v>
      </c>
      <c r="O265" s="185">
        <f t="shared" si="13"/>
        <v>2427.6819869999999</v>
      </c>
      <c r="P265" s="215">
        <f t="shared" si="12"/>
        <v>752.93537592592247</v>
      </c>
      <c r="Q265" s="215" cm="1">
        <f t="array" ref="Q265">IF(P265="-",0,P265/(1+'General inputs'!$H$32)^IFERROR(INDEX('MP Calculations'!$C$40:$C$130,MATCH(F265,'MP Calculations'!$D$40:$D$130,0),0),-1))</f>
        <v>1395.6402533527589</v>
      </c>
    </row>
    <row r="266" spans="3:17" x14ac:dyDescent="0.25">
      <c r="C266" s="159"/>
      <c r="D266" s="165" t="s">
        <v>281</v>
      </c>
      <c r="E266" s="161">
        <v>39419</v>
      </c>
      <c r="F266" s="172" t="str">
        <f t="shared" si="11"/>
        <v>2007-08</v>
      </c>
      <c r="G266" s="68"/>
      <c r="H266" s="167" t="s">
        <v>279</v>
      </c>
      <c r="I266" s="173">
        <v>89592.114709699614</v>
      </c>
      <c r="J266" s="168">
        <f>IFERROR(MIN('MP Calculations'!$E$30/I266,1),"-")</f>
        <v>0.31014580161562261</v>
      </c>
      <c r="K266" s="12"/>
      <c r="L266" s="159">
        <v>2.9990100000000002</v>
      </c>
      <c r="M266" s="159" t="s">
        <v>408</v>
      </c>
      <c r="N266" s="159">
        <v>809</v>
      </c>
      <c r="O266" s="185">
        <f t="shared" si="13"/>
        <v>2426.1990900000001</v>
      </c>
      <c r="P266" s="215">
        <f t="shared" si="12"/>
        <v>752.47546164714413</v>
      </c>
      <c r="Q266" s="215" cm="1">
        <f t="array" ref="Q266">IF(P266="-",0,P266/(1+'General inputs'!$H$32)^IFERROR(INDEX('MP Calculations'!$C$40:$C$130,MATCH(F266,'MP Calculations'!$D$40:$D$130,0),0),-1))</f>
        <v>1394.7877567095172</v>
      </c>
    </row>
    <row r="267" spans="3:17" x14ac:dyDescent="0.25">
      <c r="C267" s="159"/>
      <c r="D267" s="165" t="s">
        <v>306</v>
      </c>
      <c r="E267" s="161">
        <v>39437</v>
      </c>
      <c r="F267" s="172" t="str">
        <f t="shared" si="11"/>
        <v>2007-08</v>
      </c>
      <c r="G267" s="68"/>
      <c r="H267" s="167" t="s">
        <v>279</v>
      </c>
      <c r="I267" s="173">
        <v>89592.114709699614</v>
      </c>
      <c r="J267" s="168">
        <f>IFERROR(MIN('MP Calculations'!$E$30/I267,1),"-")</f>
        <v>0.31014580161562261</v>
      </c>
      <c r="K267" s="12"/>
      <c r="L267" s="159">
        <v>31.434045999999999</v>
      </c>
      <c r="M267" s="159" t="s">
        <v>408</v>
      </c>
      <c r="N267" s="159">
        <v>2321</v>
      </c>
      <c r="O267" s="185">
        <f t="shared" si="13"/>
        <v>72958.420765999996</v>
      </c>
      <c r="P267" s="215">
        <f t="shared" si="12"/>
        <v>22627.747893080956</v>
      </c>
      <c r="Q267" s="215" cm="1">
        <f t="array" ref="Q267">IF(P267="-",0,P267/(1+'General inputs'!$H$32)^IFERROR(INDEX('MP Calculations'!$C$40:$C$130,MATCH(F267,'MP Calculations'!$D$40:$D$130,0),0),-1))</f>
        <v>41942.770670678219</v>
      </c>
    </row>
    <row r="268" spans="3:17" x14ac:dyDescent="0.25">
      <c r="C268" s="159"/>
      <c r="D268" s="165" t="s">
        <v>306</v>
      </c>
      <c r="E268" s="161">
        <v>39437</v>
      </c>
      <c r="F268" s="172" t="str">
        <f t="shared" si="11"/>
        <v>2007-08</v>
      </c>
      <c r="G268" s="68"/>
      <c r="H268" s="167" t="s">
        <v>279</v>
      </c>
      <c r="I268" s="173">
        <v>89592.114709699614</v>
      </c>
      <c r="J268" s="168">
        <f>IFERROR(MIN('MP Calculations'!$E$30/I268,1),"-")</f>
        <v>0.31014580161562261</v>
      </c>
      <c r="K268" s="12"/>
      <c r="L268" s="159">
        <v>31.432976</v>
      </c>
      <c r="M268" s="159" t="s">
        <v>408</v>
      </c>
      <c r="N268" s="159">
        <v>2321</v>
      </c>
      <c r="O268" s="185">
        <f t="shared" si="13"/>
        <v>72955.937296000004</v>
      </c>
      <c r="P268" s="215">
        <f t="shared" si="12"/>
        <v>22626.977655287021</v>
      </c>
      <c r="Q268" s="215" cm="1">
        <f t="array" ref="Q268">IF(P268="-",0,P268/(1+'General inputs'!$H$32)^IFERROR(INDEX('MP Calculations'!$C$40:$C$130,MATCH(F268,'MP Calculations'!$D$40:$D$130,0),0),-1))</f>
        <v>41941.342958680296</v>
      </c>
    </row>
    <row r="269" spans="3:17" x14ac:dyDescent="0.25">
      <c r="C269" s="159"/>
      <c r="D269" s="165" t="s">
        <v>281</v>
      </c>
      <c r="E269" s="161">
        <v>39490</v>
      </c>
      <c r="F269" s="172" t="str">
        <f t="shared" si="11"/>
        <v>2007-08</v>
      </c>
      <c r="G269" s="68"/>
      <c r="H269" s="167" t="s">
        <v>279</v>
      </c>
      <c r="I269" s="173">
        <v>89592.114709699614</v>
      </c>
      <c r="J269" s="168">
        <f>IFERROR(MIN('MP Calculations'!$E$30/I269,1),"-")</f>
        <v>0.31014580161562261</v>
      </c>
      <c r="K269" s="12"/>
      <c r="L269" s="159">
        <v>3.0001530000000001</v>
      </c>
      <c r="M269" s="159" t="s">
        <v>408</v>
      </c>
      <c r="N269" s="159">
        <v>809</v>
      </c>
      <c r="O269" s="185">
        <f t="shared" si="13"/>
        <v>2427.1237770000002</v>
      </c>
      <c r="P269" s="215">
        <f t="shared" si="12"/>
        <v>752.76224943800275</v>
      </c>
      <c r="Q269" s="215" cm="1">
        <f t="array" ref="Q269">IF(P269="-",0,P269/(1+'General inputs'!$H$32)^IFERROR(INDEX('MP Calculations'!$C$40:$C$130,MATCH(F269,'MP Calculations'!$D$40:$D$130,0),0),-1))</f>
        <v>1395.3193462693785</v>
      </c>
    </row>
    <row r="270" spans="3:17" x14ac:dyDescent="0.25">
      <c r="C270" s="159"/>
      <c r="D270" s="165" t="s">
        <v>549</v>
      </c>
      <c r="E270" s="161">
        <v>39508</v>
      </c>
      <c r="F270" s="172" t="str">
        <f t="shared" si="11"/>
        <v>2007-08</v>
      </c>
      <c r="G270" s="68"/>
      <c r="H270" s="167" t="s">
        <v>279</v>
      </c>
      <c r="I270" s="173">
        <v>89592.114709699614</v>
      </c>
      <c r="J270" s="168">
        <f>IFERROR(MIN('MP Calculations'!$E$30/I270,1),"-")</f>
        <v>0.31014580161562261</v>
      </c>
      <c r="K270" s="12"/>
      <c r="L270" s="159">
        <v>1</v>
      </c>
      <c r="M270" s="159" t="s">
        <v>409</v>
      </c>
      <c r="N270" s="159">
        <v>57823.56</v>
      </c>
      <c r="O270" s="185">
        <f t="shared" si="13"/>
        <v>57823.56</v>
      </c>
      <c r="P270" s="215">
        <f t="shared" si="12"/>
        <v>17933.73436846905</v>
      </c>
      <c r="Q270" s="215" cm="1">
        <f t="array" ref="Q270">IF(P270="-",0,P270/(1+'General inputs'!$H$32)^IFERROR(INDEX('MP Calculations'!$C$40:$C$130,MATCH(F270,'MP Calculations'!$D$40:$D$130,0),0),-1))</f>
        <v>33241.951936169491</v>
      </c>
    </row>
    <row r="271" spans="3:17" x14ac:dyDescent="0.25">
      <c r="C271" s="159"/>
      <c r="D271" s="165" t="s">
        <v>550</v>
      </c>
      <c r="E271" s="161">
        <v>39508</v>
      </c>
      <c r="F271" s="172" t="str">
        <f t="shared" si="11"/>
        <v>2007-08</v>
      </c>
      <c r="G271" s="68"/>
      <c r="H271" s="167" t="s">
        <v>279</v>
      </c>
      <c r="I271" s="173">
        <v>89592.114709699614</v>
      </c>
      <c r="J271" s="168">
        <f>IFERROR(MIN('MP Calculations'!$E$30/I271,1),"-")</f>
        <v>0.31014580161562261</v>
      </c>
      <c r="K271" s="12"/>
      <c r="L271" s="159">
        <v>1</v>
      </c>
      <c r="M271" s="159" t="s">
        <v>409</v>
      </c>
      <c r="N271" s="159">
        <v>11296.37</v>
      </c>
      <c r="O271" s="185">
        <f t="shared" si="13"/>
        <v>11296.37</v>
      </c>
      <c r="P271" s="215">
        <f t="shared" si="12"/>
        <v>3503.5217289966708</v>
      </c>
      <c r="Q271" s="215" cm="1">
        <f t="array" ref="Q271">IF(P271="-",0,P271/(1+'General inputs'!$H$32)^IFERROR(INDEX('MP Calculations'!$C$40:$C$130,MATCH(F271,'MP Calculations'!$D$40:$D$130,0),0),-1))</f>
        <v>6494.1243429700107</v>
      </c>
    </row>
    <row r="272" spans="3:17" x14ac:dyDescent="0.25">
      <c r="C272" s="159"/>
      <c r="D272" s="165" t="s">
        <v>551</v>
      </c>
      <c r="E272" s="161">
        <v>39508</v>
      </c>
      <c r="F272" s="172" t="str">
        <f t="shared" si="11"/>
        <v>2007-08</v>
      </c>
      <c r="G272" s="68"/>
      <c r="H272" s="167" t="s">
        <v>279</v>
      </c>
      <c r="I272" s="173">
        <v>89592.114709699614</v>
      </c>
      <c r="J272" s="168">
        <f>IFERROR(MIN('MP Calculations'!$E$30/I272,1),"-")</f>
        <v>0.31014580161562261</v>
      </c>
      <c r="K272" s="12"/>
      <c r="L272" s="159">
        <v>1</v>
      </c>
      <c r="M272" s="159" t="s">
        <v>409</v>
      </c>
      <c r="N272" s="159">
        <v>68508.429999999993</v>
      </c>
      <c r="O272" s="185">
        <f t="shared" si="13"/>
        <v>68508.429999999993</v>
      </c>
      <c r="P272" s="215">
        <f t="shared" si="12"/>
        <v>21247.601939777767</v>
      </c>
      <c r="Q272" s="215" cm="1">
        <f t="array" ref="Q272">IF(P272="-",0,P272/(1+'General inputs'!$H$32)^IFERROR(INDEX('MP Calculations'!$C$40:$C$130,MATCH(F272,'MP Calculations'!$D$40:$D$130,0),0),-1))</f>
        <v>39384.533523747625</v>
      </c>
    </row>
    <row r="273" spans="3:17" x14ac:dyDescent="0.25">
      <c r="C273" s="159"/>
      <c r="D273" s="165" t="s">
        <v>552</v>
      </c>
      <c r="E273" s="161">
        <v>39508</v>
      </c>
      <c r="F273" s="172" t="str">
        <f t="shared" si="11"/>
        <v>2007-08</v>
      </c>
      <c r="G273" s="68"/>
      <c r="H273" s="167" t="s">
        <v>279</v>
      </c>
      <c r="I273" s="173">
        <v>89592.114709699614</v>
      </c>
      <c r="J273" s="168">
        <f>IFERROR(MIN('MP Calculations'!$E$30/I273,1),"-")</f>
        <v>0.31014580161562261</v>
      </c>
      <c r="K273" s="12"/>
      <c r="L273" s="159">
        <v>1</v>
      </c>
      <c r="M273" s="159" t="s">
        <v>409</v>
      </c>
      <c r="N273" s="159">
        <v>11904.36</v>
      </c>
      <c r="O273" s="185">
        <f t="shared" si="13"/>
        <v>11904.36</v>
      </c>
      <c r="P273" s="215">
        <f t="shared" si="12"/>
        <v>3692.0872749209534</v>
      </c>
      <c r="Q273" s="215" cm="1">
        <f t="array" ref="Q273">IF(P273="-",0,P273/(1+'General inputs'!$H$32)^IFERROR(INDEX('MP Calculations'!$C$40:$C$130,MATCH(F273,'MP Calculations'!$D$40:$D$130,0),0),-1))</f>
        <v>6843.6492486948</v>
      </c>
    </row>
    <row r="274" spans="3:17" x14ac:dyDescent="0.25">
      <c r="C274" s="159"/>
      <c r="D274" s="165" t="s">
        <v>553</v>
      </c>
      <c r="E274" s="161">
        <v>39630</v>
      </c>
      <c r="F274" s="172" t="str">
        <f t="shared" si="11"/>
        <v>2008-09</v>
      </c>
      <c r="G274" s="68"/>
      <c r="H274" s="167" t="s">
        <v>279</v>
      </c>
      <c r="I274" s="173">
        <v>89592.114709699614</v>
      </c>
      <c r="J274" s="168">
        <f>IFERROR(MIN('MP Calculations'!$E$30/I274,1),"-")</f>
        <v>0.31014580161562261</v>
      </c>
      <c r="K274" s="12"/>
      <c r="L274" s="159">
        <v>1</v>
      </c>
      <c r="M274" s="159" t="s">
        <v>409</v>
      </c>
      <c r="N274" s="159">
        <v>14079.92</v>
      </c>
      <c r="O274" s="185">
        <f t="shared" si="13"/>
        <v>14079.92</v>
      </c>
      <c r="P274" s="215">
        <f t="shared" si="12"/>
        <v>4366.8280750838367</v>
      </c>
      <c r="Q274" s="215" cm="1">
        <f t="array" ref="Q274">IF(P274="-",0,P274/(1+'General inputs'!$H$32)^IFERROR(INDEX('MP Calculations'!$C$40:$C$130,MATCH(F274,'MP Calculations'!$D$40:$D$130,0),0),-1))</f>
        <v>7768.0884023855397</v>
      </c>
    </row>
    <row r="275" spans="3:17" x14ac:dyDescent="0.25">
      <c r="C275" s="159"/>
      <c r="D275" s="165" t="s">
        <v>554</v>
      </c>
      <c r="E275" s="161">
        <v>39630</v>
      </c>
      <c r="F275" s="172" t="str">
        <f t="shared" si="11"/>
        <v>2008-09</v>
      </c>
      <c r="G275" s="68"/>
      <c r="H275" s="167" t="s">
        <v>279</v>
      </c>
      <c r="I275" s="173">
        <v>89592.114709699614</v>
      </c>
      <c r="J275" s="168">
        <f>IFERROR(MIN('MP Calculations'!$E$30/I275,1),"-")</f>
        <v>0.31014580161562261</v>
      </c>
      <c r="K275" s="12"/>
      <c r="L275" s="159">
        <v>1</v>
      </c>
      <c r="M275" s="159" t="s">
        <v>409</v>
      </c>
      <c r="N275" s="159">
        <v>14102.96</v>
      </c>
      <c r="O275" s="185">
        <f t="shared" si="13"/>
        <v>14102.96</v>
      </c>
      <c r="P275" s="215">
        <f t="shared" si="12"/>
        <v>4373.9738343530607</v>
      </c>
      <c r="Q275" s="215" cm="1">
        <f t="array" ref="Q275">IF(P275="-",0,P275/(1+'General inputs'!$H$32)^IFERROR(INDEX('MP Calculations'!$C$40:$C$130,MATCH(F275,'MP Calculations'!$D$40:$D$130,0),0),-1))</f>
        <v>7780.7998919956344</v>
      </c>
    </row>
    <row r="276" spans="3:17" x14ac:dyDescent="0.25">
      <c r="C276" s="159"/>
      <c r="D276" s="165" t="s">
        <v>555</v>
      </c>
      <c r="E276" s="161">
        <v>39630</v>
      </c>
      <c r="F276" s="172" t="str">
        <f t="shared" si="11"/>
        <v>2008-09</v>
      </c>
      <c r="G276" s="68"/>
      <c r="H276" s="167" t="s">
        <v>279</v>
      </c>
      <c r="I276" s="173">
        <v>89592.114709699614</v>
      </c>
      <c r="J276" s="168">
        <f>IFERROR(MIN('MP Calculations'!$E$30/I276,1),"-")</f>
        <v>0.31014580161562261</v>
      </c>
      <c r="K276" s="12"/>
      <c r="L276" s="159">
        <v>1</v>
      </c>
      <c r="M276" s="159" t="s">
        <v>409</v>
      </c>
      <c r="N276" s="159">
        <v>14077.04</v>
      </c>
      <c r="O276" s="185">
        <f t="shared" si="13"/>
        <v>14077.04</v>
      </c>
      <c r="P276" s="215">
        <f t="shared" si="12"/>
        <v>4365.9348551751846</v>
      </c>
      <c r="Q276" s="215" cm="1">
        <f t="array" ref="Q276">IF(P276="-",0,P276/(1+'General inputs'!$H$32)^IFERROR(INDEX('MP Calculations'!$C$40:$C$130,MATCH(F276,'MP Calculations'!$D$40:$D$130,0),0),-1))</f>
        <v>7766.4994661842793</v>
      </c>
    </row>
    <row r="277" spans="3:17" x14ac:dyDescent="0.25">
      <c r="C277" s="159"/>
      <c r="D277" s="165" t="s">
        <v>556</v>
      </c>
      <c r="E277" s="161">
        <v>39630</v>
      </c>
      <c r="F277" s="172" t="str">
        <f t="shared" si="11"/>
        <v>2008-09</v>
      </c>
      <c r="G277" s="68"/>
      <c r="H277" s="167" t="s">
        <v>279</v>
      </c>
      <c r="I277" s="173">
        <v>89592.114709699614</v>
      </c>
      <c r="J277" s="168">
        <f>IFERROR(MIN('MP Calculations'!$E$30/I277,1),"-")</f>
        <v>0.31014580161562261</v>
      </c>
      <c r="K277" s="12"/>
      <c r="L277" s="159">
        <v>1</v>
      </c>
      <c r="M277" s="159" t="s">
        <v>409</v>
      </c>
      <c r="N277" s="159">
        <v>22653.79</v>
      </c>
      <c r="O277" s="185">
        <f t="shared" si="13"/>
        <v>22653.79</v>
      </c>
      <c r="P277" s="215">
        <f t="shared" si="12"/>
        <v>7025.9778591819759</v>
      </c>
      <c r="Q277" s="215" cm="1">
        <f t="array" ref="Q277">IF(P277="-",0,P277/(1+'General inputs'!$H$32)^IFERROR(INDEX('MP Calculations'!$C$40:$C$130,MATCH(F277,'MP Calculations'!$D$40:$D$130,0),0),-1))</f>
        <v>12498.412162077451</v>
      </c>
    </row>
    <row r="278" spans="3:17" x14ac:dyDescent="0.25">
      <c r="C278" s="159"/>
      <c r="D278" s="165" t="s">
        <v>557</v>
      </c>
      <c r="E278" s="161">
        <v>39630</v>
      </c>
      <c r="F278" s="172" t="str">
        <f t="shared" ref="F278:F341" si="14">IF(E278="","-",IF(OR(E278&lt;$E$15,E278&gt;$E$16),"ERROR - date outside of range",IF(MONTH(E278)&gt;=7,YEAR(E278)&amp;"-"&amp;IF(YEAR(E278)=1999,"00",IF(AND(YEAR(E278)&gt;=2000,YEAR(E278)&lt;2009),"0","")&amp;RIGHT(YEAR(E278),2)+1),RIGHT(YEAR(E278),4)-1&amp;"-"&amp;RIGHT(YEAR(E278),2))))</f>
        <v>2008-09</v>
      </c>
      <c r="G278" s="68"/>
      <c r="H278" s="167" t="s">
        <v>279</v>
      </c>
      <c r="I278" s="173">
        <v>89592.114709699614</v>
      </c>
      <c r="J278" s="168">
        <f>IFERROR(MIN('MP Calculations'!$E$30/I278,1),"-")</f>
        <v>0.31014580161562261</v>
      </c>
      <c r="K278" s="12"/>
      <c r="L278" s="159">
        <v>1</v>
      </c>
      <c r="M278" s="159" t="s">
        <v>409</v>
      </c>
      <c r="N278" s="159">
        <v>5082.03</v>
      </c>
      <c r="O278" s="185">
        <f t="shared" si="13"/>
        <v>5082.03</v>
      </c>
      <c r="P278" s="215">
        <f t="shared" si="12"/>
        <v>1576.1702681846425</v>
      </c>
      <c r="Q278" s="215" cm="1">
        <f t="array" ref="Q278">IF(P278="-",0,P278/(1+'General inputs'!$H$32)^IFERROR(INDEX('MP Calculations'!$C$40:$C$130,MATCH(F278,'MP Calculations'!$D$40:$D$130,0),0),-1))</f>
        <v>2803.8268898953538</v>
      </c>
    </row>
    <row r="279" spans="3:17" x14ac:dyDescent="0.25">
      <c r="C279" s="159"/>
      <c r="D279" s="165" t="s">
        <v>558</v>
      </c>
      <c r="E279" s="161">
        <v>39630</v>
      </c>
      <c r="F279" s="172" t="str">
        <f t="shared" si="14"/>
        <v>2008-09</v>
      </c>
      <c r="G279" s="68"/>
      <c r="H279" s="167" t="s">
        <v>279</v>
      </c>
      <c r="I279" s="173">
        <v>89592.114709699614</v>
      </c>
      <c r="J279" s="168">
        <f>IFERROR(MIN('MP Calculations'!$E$30/I279,1),"-")</f>
        <v>0.31014580161562261</v>
      </c>
      <c r="K279" s="12"/>
      <c r="L279" s="159">
        <v>1</v>
      </c>
      <c r="M279" s="159" t="s">
        <v>409</v>
      </c>
      <c r="N279" s="159">
        <v>4984.5600000000004</v>
      </c>
      <c r="O279" s="185">
        <f t="shared" si="13"/>
        <v>4984.5600000000004</v>
      </c>
      <c r="P279" s="215">
        <f t="shared" ref="P279:P342" si="15">IF(O279="-","-",IF(OR(E279&lt;$E$15,E279&gt;$E$16),0,O279*J279))</f>
        <v>1545.9403569011679</v>
      </c>
      <c r="Q279" s="215" cm="1">
        <f t="array" ref="Q279">IF(P279="-",0,P279/(1+'General inputs'!$H$32)^IFERROR(INDEX('MP Calculations'!$C$40:$C$130,MATCH(F279,'MP Calculations'!$D$40:$D$130,0),0),-1))</f>
        <v>2750.0513303338989</v>
      </c>
    </row>
    <row r="280" spans="3:17" x14ac:dyDescent="0.25">
      <c r="C280" s="159"/>
      <c r="D280" s="165" t="s">
        <v>559</v>
      </c>
      <c r="E280" s="161">
        <v>39630</v>
      </c>
      <c r="F280" s="172" t="str">
        <f t="shared" si="14"/>
        <v>2008-09</v>
      </c>
      <c r="G280" s="68"/>
      <c r="H280" s="167" t="s">
        <v>279</v>
      </c>
      <c r="I280" s="173">
        <v>89592.114709699614</v>
      </c>
      <c r="J280" s="168">
        <f>IFERROR(MIN('MP Calculations'!$E$30/I280,1),"-")</f>
        <v>0.31014580161562261</v>
      </c>
      <c r="K280" s="12"/>
      <c r="L280" s="159">
        <v>1</v>
      </c>
      <c r="M280" s="159" t="s">
        <v>409</v>
      </c>
      <c r="N280" s="159">
        <v>5801.86</v>
      </c>
      <c r="O280" s="185">
        <f t="shared" si="13"/>
        <v>5801.86</v>
      </c>
      <c r="P280" s="215">
        <f t="shared" si="15"/>
        <v>1799.422520561616</v>
      </c>
      <c r="Q280" s="215" cm="1">
        <f t="array" ref="Q280">IF(P280="-",0,P280/(1+'General inputs'!$H$32)^IFERROR(INDEX('MP Calculations'!$C$40:$C$130,MATCH(F280,'MP Calculations'!$D$40:$D$130,0),0),-1))</f>
        <v>3200.9671488378181</v>
      </c>
    </row>
    <row r="281" spans="3:17" x14ac:dyDescent="0.25">
      <c r="C281" s="159"/>
      <c r="D281" s="165" t="s">
        <v>560</v>
      </c>
      <c r="E281" s="161">
        <v>39630</v>
      </c>
      <c r="F281" s="172" t="str">
        <f t="shared" si="14"/>
        <v>2008-09</v>
      </c>
      <c r="G281" s="68"/>
      <c r="H281" s="167" t="s">
        <v>279</v>
      </c>
      <c r="I281" s="173">
        <v>89592.114709699614</v>
      </c>
      <c r="J281" s="168">
        <f>IFERROR(MIN('MP Calculations'!$E$30/I281,1),"-")</f>
        <v>0.31014580161562261</v>
      </c>
      <c r="K281" s="12"/>
      <c r="L281" s="159">
        <v>1</v>
      </c>
      <c r="M281" s="159" t="s">
        <v>409</v>
      </c>
      <c r="N281" s="159">
        <v>20888.810000000001</v>
      </c>
      <c r="O281" s="185">
        <f t="shared" si="13"/>
        <v>20888.810000000001</v>
      </c>
      <c r="P281" s="215">
        <f t="shared" si="15"/>
        <v>6478.5767222464337</v>
      </c>
      <c r="Q281" s="215" cm="1">
        <f t="array" ref="Q281">IF(P281="-",0,P281/(1+'General inputs'!$H$32)^IFERROR(INDEX('MP Calculations'!$C$40:$C$130,MATCH(F281,'MP Calculations'!$D$40:$D$130,0),0),-1))</f>
        <v>11524.648059124989</v>
      </c>
    </row>
    <row r="282" spans="3:17" x14ac:dyDescent="0.25">
      <c r="C282" s="159"/>
      <c r="D282" s="165" t="s">
        <v>560</v>
      </c>
      <c r="E282" s="161">
        <v>39630</v>
      </c>
      <c r="F282" s="172" t="str">
        <f t="shared" si="14"/>
        <v>2008-09</v>
      </c>
      <c r="G282" s="68"/>
      <c r="H282" s="167" t="s">
        <v>279</v>
      </c>
      <c r="I282" s="173">
        <v>89592.114709699614</v>
      </c>
      <c r="J282" s="168">
        <f>IFERROR(MIN('MP Calculations'!$E$30/I282,1),"-")</f>
        <v>0.31014580161562261</v>
      </c>
      <c r="K282" s="12"/>
      <c r="L282" s="159">
        <v>1</v>
      </c>
      <c r="M282" s="159" t="s">
        <v>409</v>
      </c>
      <c r="N282" s="159">
        <v>2790.55</v>
      </c>
      <c r="O282" s="185">
        <f t="shared" si="13"/>
        <v>2790.55</v>
      </c>
      <c r="P282" s="215">
        <f t="shared" si="15"/>
        <v>865.47736669847575</v>
      </c>
      <c r="Q282" s="215" cm="1">
        <f t="array" ref="Q282">IF(P282="-",0,P282/(1+'General inputs'!$H$32)^IFERROR(INDEX('MP Calculations'!$C$40:$C$130,MATCH(F282,'MP Calculations'!$D$40:$D$130,0),0),-1))</f>
        <v>1539.5853876497149</v>
      </c>
    </row>
    <row r="283" spans="3:17" x14ac:dyDescent="0.25">
      <c r="C283" s="159"/>
      <c r="D283" s="165" t="s">
        <v>560</v>
      </c>
      <c r="E283" s="161">
        <v>39630</v>
      </c>
      <c r="F283" s="172" t="str">
        <f t="shared" si="14"/>
        <v>2008-09</v>
      </c>
      <c r="G283" s="68"/>
      <c r="H283" s="167" t="s">
        <v>279</v>
      </c>
      <c r="I283" s="173">
        <v>89592.114709699614</v>
      </c>
      <c r="J283" s="168">
        <f>IFERROR(MIN('MP Calculations'!$E$30/I283,1),"-")</f>
        <v>0.31014580161562261</v>
      </c>
      <c r="K283" s="12"/>
      <c r="L283" s="159">
        <v>1</v>
      </c>
      <c r="M283" s="159" t="s">
        <v>409</v>
      </c>
      <c r="N283" s="159">
        <v>10168.57</v>
      </c>
      <c r="O283" s="185">
        <f t="shared" si="13"/>
        <v>10168.57</v>
      </c>
      <c r="P283" s="215">
        <f t="shared" si="15"/>
        <v>3153.7392939345714</v>
      </c>
      <c r="Q283" s="215" cm="1">
        <f t="array" ref="Q283">IF(P283="-",0,P283/(1+'General inputs'!$H$32)^IFERROR(INDEX('MP Calculations'!$C$40:$C$130,MATCH(F283,'MP Calculations'!$D$40:$D$130,0),0),-1))</f>
        <v>5610.1420097447663</v>
      </c>
    </row>
    <row r="284" spans="3:17" x14ac:dyDescent="0.25">
      <c r="C284" s="159"/>
      <c r="D284" s="165" t="s">
        <v>560</v>
      </c>
      <c r="E284" s="161">
        <v>39630</v>
      </c>
      <c r="F284" s="172" t="str">
        <f t="shared" si="14"/>
        <v>2008-09</v>
      </c>
      <c r="G284" s="68"/>
      <c r="H284" s="167" t="s">
        <v>279</v>
      </c>
      <c r="I284" s="173">
        <v>89592.114709699614</v>
      </c>
      <c r="J284" s="168">
        <f>IFERROR(MIN('MP Calculations'!$E$30/I284,1),"-")</f>
        <v>0.31014580161562261</v>
      </c>
      <c r="K284" s="12"/>
      <c r="L284" s="159">
        <v>1</v>
      </c>
      <c r="M284" s="159" t="s">
        <v>409</v>
      </c>
      <c r="N284" s="159">
        <v>4757.41</v>
      </c>
      <c r="O284" s="185">
        <f t="shared" si="13"/>
        <v>4757.41</v>
      </c>
      <c r="P284" s="215">
        <f t="shared" si="15"/>
        <v>1475.4907380641791</v>
      </c>
      <c r="Q284" s="215" cm="1">
        <f t="array" ref="Q284">IF(P284="-",0,P284/(1+'General inputs'!$H$32)^IFERROR(INDEX('MP Calculations'!$C$40:$C$130,MATCH(F284,'MP Calculations'!$D$40:$D$130,0),0),-1))</f>
        <v>2624.7295045989604</v>
      </c>
    </row>
    <row r="285" spans="3:17" x14ac:dyDescent="0.25">
      <c r="C285" s="159"/>
      <c r="D285" s="165" t="s">
        <v>561</v>
      </c>
      <c r="E285" s="161">
        <v>39630</v>
      </c>
      <c r="F285" s="172" t="str">
        <f t="shared" si="14"/>
        <v>2008-09</v>
      </c>
      <c r="G285" s="68"/>
      <c r="H285" s="167" t="s">
        <v>279</v>
      </c>
      <c r="I285" s="173">
        <v>89592.114709699614</v>
      </c>
      <c r="J285" s="168">
        <f>IFERROR(MIN('MP Calculations'!$E$30/I285,1),"-")</f>
        <v>0.31014580161562261</v>
      </c>
      <c r="K285" s="12"/>
      <c r="L285" s="159">
        <v>1</v>
      </c>
      <c r="M285" s="159" t="s">
        <v>409</v>
      </c>
      <c r="N285" s="159">
        <v>2625.08</v>
      </c>
      <c r="O285" s="185">
        <f t="shared" si="13"/>
        <v>2625.08</v>
      </c>
      <c r="P285" s="215">
        <f t="shared" si="15"/>
        <v>814.1575409051386</v>
      </c>
      <c r="Q285" s="215" cm="1">
        <f t="array" ref="Q285">IF(P285="-",0,P285/(1+'General inputs'!$H$32)^IFERROR(INDEX('MP Calculations'!$C$40:$C$130,MATCH(F285,'MP Calculations'!$D$40:$D$130,0),0),-1))</f>
        <v>1448.2932788918001</v>
      </c>
    </row>
    <row r="286" spans="3:17" x14ac:dyDescent="0.25">
      <c r="C286" s="159"/>
      <c r="D286" s="165" t="s">
        <v>562</v>
      </c>
      <c r="E286" s="161">
        <v>39692</v>
      </c>
      <c r="F286" s="172" t="str">
        <f t="shared" si="14"/>
        <v>2008-09</v>
      </c>
      <c r="G286" s="68"/>
      <c r="H286" s="167" t="s">
        <v>279</v>
      </c>
      <c r="I286" s="173">
        <v>89592.114709699614</v>
      </c>
      <c r="J286" s="168">
        <f>IFERROR(MIN('MP Calculations'!$E$30/I286,1),"-")</f>
        <v>0.31014580161562261</v>
      </c>
      <c r="K286" s="12"/>
      <c r="L286" s="159">
        <v>1</v>
      </c>
      <c r="M286" s="159" t="s">
        <v>409</v>
      </c>
      <c r="N286" s="159">
        <v>3467.79</v>
      </c>
      <c r="O286" s="185">
        <f t="shared" si="13"/>
        <v>3467.79</v>
      </c>
      <c r="P286" s="215">
        <f t="shared" si="15"/>
        <v>1075.5205093846398</v>
      </c>
      <c r="Q286" s="215" cm="1">
        <f t="array" ref="Q286">IF(P286="-",0,P286/(1+'General inputs'!$H$32)^IFERROR(INDEX('MP Calculations'!$C$40:$C$130,MATCH(F286,'MP Calculations'!$D$40:$D$130,0),0),-1))</f>
        <v>1913.2281490881021</v>
      </c>
    </row>
    <row r="287" spans="3:17" x14ac:dyDescent="0.25">
      <c r="C287" s="159"/>
      <c r="D287" s="165" t="s">
        <v>563</v>
      </c>
      <c r="E287" s="161">
        <v>39692</v>
      </c>
      <c r="F287" s="172" t="str">
        <f t="shared" si="14"/>
        <v>2008-09</v>
      </c>
      <c r="G287" s="68"/>
      <c r="H287" s="167" t="s">
        <v>279</v>
      </c>
      <c r="I287" s="173">
        <v>89592.114709699614</v>
      </c>
      <c r="J287" s="168">
        <f>IFERROR(MIN('MP Calculations'!$E$30/I287,1),"-")</f>
        <v>0.31014580161562261</v>
      </c>
      <c r="K287" s="12"/>
      <c r="L287" s="159">
        <v>1</v>
      </c>
      <c r="M287" s="159" t="s">
        <v>409</v>
      </c>
      <c r="N287" s="159">
        <v>6450.77</v>
      </c>
      <c r="O287" s="185">
        <f t="shared" si="13"/>
        <v>6450.77</v>
      </c>
      <c r="P287" s="215">
        <f t="shared" si="15"/>
        <v>2000.67923268801</v>
      </c>
      <c r="Q287" s="215" cm="1">
        <f t="array" ref="Q287">IF(P287="-",0,P287/(1+'General inputs'!$H$32)^IFERROR(INDEX('MP Calculations'!$C$40:$C$130,MATCH(F287,'MP Calculations'!$D$40:$D$130,0),0),-1))</f>
        <v>3558.9798538242103</v>
      </c>
    </row>
    <row r="288" spans="3:17" x14ac:dyDescent="0.25">
      <c r="C288" s="159"/>
      <c r="D288" s="165" t="s">
        <v>564</v>
      </c>
      <c r="E288" s="161">
        <v>39721</v>
      </c>
      <c r="F288" s="172" t="str">
        <f t="shared" si="14"/>
        <v>2008-09</v>
      </c>
      <c r="G288" s="68"/>
      <c r="H288" s="167" t="s">
        <v>279</v>
      </c>
      <c r="I288" s="173">
        <v>89592.114709699614</v>
      </c>
      <c r="J288" s="168">
        <f>IFERROR(MIN('MP Calculations'!$E$30/I288,1),"-")</f>
        <v>0.31014580161562261</v>
      </c>
      <c r="K288" s="12"/>
      <c r="L288" s="159">
        <v>1</v>
      </c>
      <c r="M288" s="159" t="s">
        <v>409</v>
      </c>
      <c r="N288" s="159">
        <v>35030.019999999997</v>
      </c>
      <c r="O288" s="185">
        <f t="shared" si="13"/>
        <v>35030.019999999997</v>
      </c>
      <c r="P288" s="215">
        <f t="shared" si="15"/>
        <v>10864.413633511291</v>
      </c>
      <c r="Q288" s="215" cm="1">
        <f t="array" ref="Q288">IF(P288="-",0,P288/(1+'General inputs'!$H$32)^IFERROR(INDEX('MP Calculations'!$C$40:$C$130,MATCH(F288,'MP Calculations'!$D$40:$D$130,0),0),-1))</f>
        <v>19326.55101004363</v>
      </c>
    </row>
    <row r="289" spans="3:17" x14ac:dyDescent="0.25">
      <c r="C289" s="159"/>
      <c r="D289" s="165" t="s">
        <v>281</v>
      </c>
      <c r="E289" s="161">
        <v>39752</v>
      </c>
      <c r="F289" s="172" t="str">
        <f t="shared" si="14"/>
        <v>2008-09</v>
      </c>
      <c r="G289" s="68"/>
      <c r="H289" s="167" t="s">
        <v>279</v>
      </c>
      <c r="I289" s="173">
        <v>89592.114709699614</v>
      </c>
      <c r="J289" s="168">
        <f>IFERROR(MIN('MP Calculations'!$E$30/I289,1),"-")</f>
        <v>0.31014580161562261</v>
      </c>
      <c r="K289" s="12"/>
      <c r="L289" s="159">
        <v>8.099755</v>
      </c>
      <c r="M289" s="159" t="s">
        <v>408</v>
      </c>
      <c r="N289" s="159">
        <v>809</v>
      </c>
      <c r="O289" s="185">
        <f t="shared" si="13"/>
        <v>6552.7017949999999</v>
      </c>
      <c r="P289" s="215">
        <f t="shared" si="15"/>
        <v>2032.2929509584042</v>
      </c>
      <c r="Q289" s="215" cm="1">
        <f t="array" ref="Q289">IF(P289="-",0,P289/(1+'General inputs'!$H$32)^IFERROR(INDEX('MP Calculations'!$C$40:$C$130,MATCH(F289,'MP Calculations'!$D$40:$D$130,0),0),-1))</f>
        <v>3615.2170479683418</v>
      </c>
    </row>
    <row r="290" spans="3:17" x14ac:dyDescent="0.25">
      <c r="C290" s="159"/>
      <c r="D290" s="165" t="s">
        <v>565</v>
      </c>
      <c r="E290" s="161">
        <v>39753</v>
      </c>
      <c r="F290" s="172" t="str">
        <f t="shared" si="14"/>
        <v>2008-09</v>
      </c>
      <c r="G290" s="68"/>
      <c r="H290" s="167" t="s">
        <v>279</v>
      </c>
      <c r="I290" s="173">
        <v>89592.114709699614</v>
      </c>
      <c r="J290" s="168">
        <f>IFERROR(MIN('MP Calculations'!$E$30/I290,1),"-")</f>
        <v>0.31014580161562261</v>
      </c>
      <c r="K290" s="12"/>
      <c r="L290" s="159">
        <v>1</v>
      </c>
      <c r="M290" s="159" t="s">
        <v>409</v>
      </c>
      <c r="N290" s="159">
        <v>801.33</v>
      </c>
      <c r="O290" s="185">
        <f t="shared" si="13"/>
        <v>801.33</v>
      </c>
      <c r="P290" s="215">
        <f t="shared" si="15"/>
        <v>248.52913520864686</v>
      </c>
      <c r="Q290" s="215" cm="1">
        <f t="array" ref="Q290">IF(P290="-",0,P290/(1+'General inputs'!$H$32)^IFERROR(INDEX('MP Calculations'!$C$40:$C$130,MATCH(F290,'MP Calculations'!$D$40:$D$130,0),0),-1))</f>
        <v>442.10494658233893</v>
      </c>
    </row>
    <row r="291" spans="3:17" x14ac:dyDescent="0.25">
      <c r="C291" s="159"/>
      <c r="D291" s="165" t="s">
        <v>566</v>
      </c>
      <c r="E291" s="161">
        <v>39753</v>
      </c>
      <c r="F291" s="172" t="str">
        <f t="shared" si="14"/>
        <v>2008-09</v>
      </c>
      <c r="G291" s="68"/>
      <c r="H291" s="167" t="s">
        <v>279</v>
      </c>
      <c r="I291" s="173">
        <v>89592.114709699614</v>
      </c>
      <c r="J291" s="168">
        <f>IFERROR(MIN('MP Calculations'!$E$30/I291,1),"-")</f>
        <v>0.31014580161562261</v>
      </c>
      <c r="K291" s="12"/>
      <c r="L291" s="159">
        <v>1</v>
      </c>
      <c r="M291" s="159" t="s">
        <v>409</v>
      </c>
      <c r="N291" s="159">
        <v>15251.27</v>
      </c>
      <c r="O291" s="185">
        <f t="shared" si="13"/>
        <v>15251.27</v>
      </c>
      <c r="P291" s="215">
        <f t="shared" si="15"/>
        <v>4730.1173598062969</v>
      </c>
      <c r="Q291" s="215" cm="1">
        <f t="array" ref="Q291">IF(P291="-",0,P291/(1+'General inputs'!$H$32)^IFERROR(INDEX('MP Calculations'!$C$40:$C$130,MATCH(F291,'MP Calculations'!$D$40:$D$130,0),0),-1))</f>
        <v>8414.3385479924982</v>
      </c>
    </row>
    <row r="292" spans="3:17" x14ac:dyDescent="0.25">
      <c r="C292" s="159"/>
      <c r="D292" s="165" t="s">
        <v>567</v>
      </c>
      <c r="E292" s="161">
        <v>39783</v>
      </c>
      <c r="F292" s="172" t="str">
        <f t="shared" si="14"/>
        <v>2008-09</v>
      </c>
      <c r="G292" s="68"/>
      <c r="H292" s="167" t="s">
        <v>279</v>
      </c>
      <c r="I292" s="173">
        <v>89592.114709699614</v>
      </c>
      <c r="J292" s="168">
        <f>IFERROR(MIN('MP Calculations'!$E$30/I292,1),"-")</f>
        <v>0.31014580161562261</v>
      </c>
      <c r="K292" s="12"/>
      <c r="L292" s="159">
        <v>1</v>
      </c>
      <c r="M292" s="159" t="s">
        <v>409</v>
      </c>
      <c r="N292" s="159">
        <v>12363.94</v>
      </c>
      <c r="O292" s="185">
        <f t="shared" si="13"/>
        <v>12363.94</v>
      </c>
      <c r="P292" s="215">
        <f t="shared" si="15"/>
        <v>3834.624082427461</v>
      </c>
      <c r="Q292" s="215" cm="1">
        <f t="array" ref="Q292">IF(P292="-",0,P292/(1+'General inputs'!$H$32)^IFERROR(INDEX('MP Calculations'!$C$40:$C$130,MATCH(F292,'MP Calculations'!$D$40:$D$130,0),0),-1))</f>
        <v>6821.3582834128802</v>
      </c>
    </row>
    <row r="293" spans="3:17" x14ac:dyDescent="0.25">
      <c r="C293" s="159"/>
      <c r="D293" s="165" t="s">
        <v>568</v>
      </c>
      <c r="E293" s="161">
        <v>39783</v>
      </c>
      <c r="F293" s="172" t="str">
        <f t="shared" si="14"/>
        <v>2008-09</v>
      </c>
      <c r="G293" s="68"/>
      <c r="H293" s="167" t="s">
        <v>279</v>
      </c>
      <c r="I293" s="173">
        <v>89592.114709699614</v>
      </c>
      <c r="J293" s="168">
        <f>IFERROR(MIN('MP Calculations'!$E$30/I293,1),"-")</f>
        <v>0.31014580161562261</v>
      </c>
      <c r="K293" s="12"/>
      <c r="L293" s="159">
        <v>1</v>
      </c>
      <c r="M293" s="159" t="s">
        <v>409</v>
      </c>
      <c r="N293" s="159">
        <v>11343.12</v>
      </c>
      <c r="O293" s="185">
        <f t="shared" si="13"/>
        <v>11343.12</v>
      </c>
      <c r="P293" s="215">
        <f t="shared" si="15"/>
        <v>3518.0210452222013</v>
      </c>
      <c r="Q293" s="215" cm="1">
        <f t="array" ref="Q293">IF(P293="-",0,P293/(1+'General inputs'!$H$32)^IFERROR(INDEX('MP Calculations'!$C$40:$C$130,MATCH(F293,'MP Calculations'!$D$40:$D$130,0),0),-1))</f>
        <v>6258.1576400197928</v>
      </c>
    </row>
    <row r="294" spans="3:17" x14ac:dyDescent="0.25">
      <c r="C294" s="159"/>
      <c r="D294" s="165" t="s">
        <v>569</v>
      </c>
      <c r="E294" s="161">
        <v>39783</v>
      </c>
      <c r="F294" s="172" t="str">
        <f t="shared" si="14"/>
        <v>2008-09</v>
      </c>
      <c r="G294" s="68"/>
      <c r="H294" s="167" t="s">
        <v>279</v>
      </c>
      <c r="I294" s="173">
        <v>89592.114709699614</v>
      </c>
      <c r="J294" s="168">
        <f>IFERROR(MIN('MP Calculations'!$E$30/I294,1),"-")</f>
        <v>0.31014580161562261</v>
      </c>
      <c r="K294" s="12"/>
      <c r="L294" s="159">
        <v>1</v>
      </c>
      <c r="M294" s="159" t="s">
        <v>409</v>
      </c>
      <c r="N294" s="159">
        <v>2097.3000000000002</v>
      </c>
      <c r="O294" s="185">
        <f t="shared" si="13"/>
        <v>2097.3000000000002</v>
      </c>
      <c r="P294" s="215">
        <f t="shared" si="15"/>
        <v>650.46878972844536</v>
      </c>
      <c r="Q294" s="215" cm="1">
        <f t="array" ref="Q294">IF(P294="-",0,P294/(1+'General inputs'!$H$32)^IFERROR(INDEX('MP Calculations'!$C$40:$C$130,MATCH(F294,'MP Calculations'!$D$40:$D$130,0),0),-1))</f>
        <v>1157.109685731396</v>
      </c>
    </row>
    <row r="295" spans="3:17" x14ac:dyDescent="0.25">
      <c r="C295" s="159"/>
      <c r="D295" s="165" t="s">
        <v>570</v>
      </c>
      <c r="E295" s="161">
        <v>39783</v>
      </c>
      <c r="F295" s="172" t="str">
        <f t="shared" si="14"/>
        <v>2008-09</v>
      </c>
      <c r="G295" s="68"/>
      <c r="H295" s="167" t="s">
        <v>279</v>
      </c>
      <c r="I295" s="173">
        <v>89592.114709699614</v>
      </c>
      <c r="J295" s="168">
        <f>IFERROR(MIN('MP Calculations'!$E$30/I295,1),"-")</f>
        <v>0.31014580161562261</v>
      </c>
      <c r="K295" s="12"/>
      <c r="L295" s="159">
        <v>1</v>
      </c>
      <c r="M295" s="159" t="s">
        <v>409</v>
      </c>
      <c r="N295" s="159">
        <v>1881.62</v>
      </c>
      <c r="O295" s="185">
        <f t="shared" si="13"/>
        <v>1881.62</v>
      </c>
      <c r="P295" s="215">
        <f t="shared" si="15"/>
        <v>583.57654323598774</v>
      </c>
      <c r="Q295" s="215" cm="1">
        <f t="array" ref="Q295">IF(P295="-",0,P295/(1+'General inputs'!$H$32)^IFERROR(INDEX('MP Calculations'!$C$40:$C$130,MATCH(F295,'MP Calculations'!$D$40:$D$130,0),0),-1))</f>
        <v>1038.1160191035658</v>
      </c>
    </row>
    <row r="296" spans="3:17" x14ac:dyDescent="0.25">
      <c r="C296" s="159"/>
      <c r="D296" s="165" t="s">
        <v>571</v>
      </c>
      <c r="E296" s="161">
        <v>39813</v>
      </c>
      <c r="F296" s="172" t="str">
        <f t="shared" si="14"/>
        <v>2008-09</v>
      </c>
      <c r="G296" s="68"/>
      <c r="H296" s="167" t="s">
        <v>279</v>
      </c>
      <c r="I296" s="173">
        <v>89592.114709699614</v>
      </c>
      <c r="J296" s="168">
        <f>IFERROR(MIN('MP Calculations'!$E$30/I296,1),"-")</f>
        <v>0.31014580161562261</v>
      </c>
      <c r="K296" s="12"/>
      <c r="L296" s="159">
        <v>1</v>
      </c>
      <c r="M296" s="159" t="s">
        <v>409</v>
      </c>
      <c r="N296" s="159">
        <v>58829.57</v>
      </c>
      <c r="O296" s="185">
        <f t="shared" si="13"/>
        <v>58829.57</v>
      </c>
      <c r="P296" s="215">
        <f t="shared" si="15"/>
        <v>18245.744146352383</v>
      </c>
      <c r="Q296" s="215" cm="1">
        <f t="array" ref="Q296">IF(P296="-",0,P296/(1+'General inputs'!$H$32)^IFERROR(INDEX('MP Calculations'!$C$40:$C$130,MATCH(F296,'MP Calculations'!$D$40:$D$130,0),0),-1))</f>
        <v>32457.094957523077</v>
      </c>
    </row>
    <row r="297" spans="3:17" x14ac:dyDescent="0.25">
      <c r="C297" s="159"/>
      <c r="D297" s="165" t="s">
        <v>572</v>
      </c>
      <c r="E297" s="161">
        <v>39814</v>
      </c>
      <c r="F297" s="172" t="str">
        <f t="shared" si="14"/>
        <v>2008-09</v>
      </c>
      <c r="G297" s="68"/>
      <c r="H297" s="167" t="s">
        <v>279</v>
      </c>
      <c r="I297" s="173">
        <v>89592.114709699614</v>
      </c>
      <c r="J297" s="168">
        <f>IFERROR(MIN('MP Calculations'!$E$30/I297,1),"-")</f>
        <v>0.31014580161562261</v>
      </c>
      <c r="K297" s="12"/>
      <c r="L297" s="159">
        <v>1</v>
      </c>
      <c r="M297" s="159" t="s">
        <v>409</v>
      </c>
      <c r="N297" s="159">
        <v>23743.18</v>
      </c>
      <c r="O297" s="185">
        <f t="shared" si="13"/>
        <v>23743.18</v>
      </c>
      <c r="P297" s="215">
        <f t="shared" si="15"/>
        <v>7363.8475940040189</v>
      </c>
      <c r="Q297" s="215" cm="1">
        <f t="array" ref="Q297">IF(P297="-",0,P297/(1+'General inputs'!$H$32)^IFERROR(INDEX('MP Calculations'!$C$40:$C$130,MATCH(F297,'MP Calculations'!$D$40:$D$130,0),0),-1))</f>
        <v>13099.443831623499</v>
      </c>
    </row>
    <row r="298" spans="3:17" x14ac:dyDescent="0.25">
      <c r="C298" s="159"/>
      <c r="D298" s="165" t="s">
        <v>573</v>
      </c>
      <c r="E298" s="161">
        <v>39814</v>
      </c>
      <c r="F298" s="172" t="str">
        <f t="shared" si="14"/>
        <v>2008-09</v>
      </c>
      <c r="G298" s="68"/>
      <c r="H298" s="167" t="s">
        <v>279</v>
      </c>
      <c r="I298" s="173">
        <v>89592.114709699614</v>
      </c>
      <c r="J298" s="168">
        <f>IFERROR(MIN('MP Calculations'!$E$30/I298,1),"-")</f>
        <v>0.31014580161562261</v>
      </c>
      <c r="K298" s="12"/>
      <c r="L298" s="159">
        <v>1</v>
      </c>
      <c r="M298" s="159" t="s">
        <v>409</v>
      </c>
      <c r="N298" s="159">
        <v>22346.85</v>
      </c>
      <c r="O298" s="185">
        <f t="shared" si="13"/>
        <v>22346.85</v>
      </c>
      <c r="P298" s="215">
        <f t="shared" si="15"/>
        <v>6930.7817068340755</v>
      </c>
      <c r="Q298" s="215" cm="1">
        <f t="array" ref="Q298">IF(P298="-",0,P298/(1+'General inputs'!$H$32)^IFERROR(INDEX('MP Calculations'!$C$40:$C$130,MATCH(F298,'MP Calculations'!$D$40:$D$130,0),0),-1))</f>
        <v>12329.069079572135</v>
      </c>
    </row>
    <row r="299" spans="3:17" x14ac:dyDescent="0.25">
      <c r="C299" s="159"/>
      <c r="D299" s="165" t="s">
        <v>574</v>
      </c>
      <c r="E299" s="161">
        <v>39814</v>
      </c>
      <c r="F299" s="172" t="str">
        <f t="shared" si="14"/>
        <v>2008-09</v>
      </c>
      <c r="G299" s="68"/>
      <c r="H299" s="167" t="s">
        <v>279</v>
      </c>
      <c r="I299" s="173">
        <v>89592.114709699614</v>
      </c>
      <c r="J299" s="168">
        <f>IFERROR(MIN('MP Calculations'!$E$30/I299,1),"-")</f>
        <v>0.31014580161562261</v>
      </c>
      <c r="K299" s="12"/>
      <c r="L299" s="159">
        <v>1</v>
      </c>
      <c r="M299" s="159" t="s">
        <v>409</v>
      </c>
      <c r="N299" s="159">
        <v>23917.58</v>
      </c>
      <c r="O299" s="185">
        <f t="shared" si="13"/>
        <v>23917.58</v>
      </c>
      <c r="P299" s="215">
        <f t="shared" si="15"/>
        <v>7417.9370218057838</v>
      </c>
      <c r="Q299" s="215" cm="1">
        <f t="array" ref="Q299">IF(P299="-",0,P299/(1+'General inputs'!$H$32)^IFERROR(INDEX('MP Calculations'!$C$40:$C$130,MATCH(F299,'MP Calculations'!$D$40:$D$130,0),0),-1))</f>
        <v>13195.662746033244</v>
      </c>
    </row>
    <row r="300" spans="3:17" x14ac:dyDescent="0.25">
      <c r="C300" s="159"/>
      <c r="D300" s="165" t="s">
        <v>575</v>
      </c>
      <c r="E300" s="161">
        <v>39814</v>
      </c>
      <c r="F300" s="172" t="str">
        <f t="shared" si="14"/>
        <v>2008-09</v>
      </c>
      <c r="G300" s="68"/>
      <c r="H300" s="167" t="s">
        <v>279</v>
      </c>
      <c r="I300" s="173">
        <v>89592.114709699614</v>
      </c>
      <c r="J300" s="168">
        <f>IFERROR(MIN('MP Calculations'!$E$30/I300,1),"-")</f>
        <v>0.31014580161562261</v>
      </c>
      <c r="K300" s="12"/>
      <c r="L300" s="159">
        <v>1</v>
      </c>
      <c r="M300" s="159" t="s">
        <v>409</v>
      </c>
      <c r="N300" s="159">
        <v>15629.75</v>
      </c>
      <c r="O300" s="185">
        <f t="shared" si="13"/>
        <v>15629.75</v>
      </c>
      <c r="P300" s="215">
        <f t="shared" si="15"/>
        <v>4847.5013428017774</v>
      </c>
      <c r="Q300" s="215" cm="1">
        <f t="array" ref="Q300">IF(P300="-",0,P300/(1+'General inputs'!$H$32)^IFERROR(INDEX('MP Calculations'!$C$40:$C$130,MATCH(F300,'MP Calculations'!$D$40:$D$130,0),0),-1))</f>
        <v>8623.1512471083224</v>
      </c>
    </row>
    <row r="301" spans="3:17" x14ac:dyDescent="0.25">
      <c r="C301" s="159"/>
      <c r="D301" s="165" t="s">
        <v>576</v>
      </c>
      <c r="E301" s="161">
        <v>39814</v>
      </c>
      <c r="F301" s="172" t="str">
        <f t="shared" si="14"/>
        <v>2008-09</v>
      </c>
      <c r="G301" s="68"/>
      <c r="H301" s="167" t="s">
        <v>279</v>
      </c>
      <c r="I301" s="173">
        <v>89592.114709699614</v>
      </c>
      <c r="J301" s="168">
        <f>IFERROR(MIN('MP Calculations'!$E$30/I301,1),"-")</f>
        <v>0.31014580161562261</v>
      </c>
      <c r="K301" s="12"/>
      <c r="L301" s="159">
        <v>1</v>
      </c>
      <c r="M301" s="159" t="s">
        <v>409</v>
      </c>
      <c r="N301" s="159">
        <v>9264.15</v>
      </c>
      <c r="O301" s="185">
        <f t="shared" si="13"/>
        <v>9264.15</v>
      </c>
      <c r="P301" s="215">
        <f t="shared" si="15"/>
        <v>2873.2372280373702</v>
      </c>
      <c r="Q301" s="215" cm="1">
        <f t="array" ref="Q301">IF(P301="-",0,P301/(1+'General inputs'!$H$32)^IFERROR(INDEX('MP Calculations'!$C$40:$C$130,MATCH(F301,'MP Calculations'!$D$40:$D$130,0),0),-1))</f>
        <v>5111.1608711526778</v>
      </c>
    </row>
    <row r="302" spans="3:17" x14ac:dyDescent="0.25">
      <c r="C302" s="159"/>
      <c r="D302" s="165" t="s">
        <v>576</v>
      </c>
      <c r="E302" s="161">
        <v>39814</v>
      </c>
      <c r="F302" s="172" t="str">
        <f t="shared" si="14"/>
        <v>2008-09</v>
      </c>
      <c r="G302" s="68"/>
      <c r="H302" s="167" t="s">
        <v>279</v>
      </c>
      <c r="I302" s="173">
        <v>89592.114709699614</v>
      </c>
      <c r="J302" s="168">
        <f>IFERROR(MIN('MP Calculations'!$E$30/I302,1),"-")</f>
        <v>0.31014580161562261</v>
      </c>
      <c r="K302" s="12"/>
      <c r="L302" s="159">
        <v>1</v>
      </c>
      <c r="M302" s="159" t="s">
        <v>409</v>
      </c>
      <c r="N302" s="159">
        <v>754.38</v>
      </c>
      <c r="O302" s="185">
        <f t="shared" si="13"/>
        <v>754.38</v>
      </c>
      <c r="P302" s="215">
        <f t="shared" si="15"/>
        <v>233.96778982279338</v>
      </c>
      <c r="Q302" s="215" cm="1">
        <f t="array" ref="Q302">IF(P302="-",0,P302/(1+'General inputs'!$H$32)^IFERROR(INDEX('MP Calculations'!$C$40:$C$130,MATCH(F302,'MP Calculations'!$D$40:$D$130,0),0),-1))</f>
        <v>416.20197621801856</v>
      </c>
    </row>
    <row r="303" spans="3:17" x14ac:dyDescent="0.25">
      <c r="C303" s="159"/>
      <c r="D303" s="165" t="s">
        <v>577</v>
      </c>
      <c r="E303" s="161">
        <v>39814</v>
      </c>
      <c r="F303" s="172" t="str">
        <f t="shared" si="14"/>
        <v>2008-09</v>
      </c>
      <c r="G303" s="68"/>
      <c r="H303" s="167" t="s">
        <v>279</v>
      </c>
      <c r="I303" s="173">
        <v>89592.114709699614</v>
      </c>
      <c r="J303" s="168">
        <f>IFERROR(MIN('MP Calculations'!$E$30/I303,1),"-")</f>
        <v>0.31014580161562261</v>
      </c>
      <c r="K303" s="12"/>
      <c r="L303" s="159">
        <v>1</v>
      </c>
      <c r="M303" s="159" t="s">
        <v>409</v>
      </c>
      <c r="N303" s="159">
        <v>3523.29</v>
      </c>
      <c r="O303" s="185">
        <f t="shared" si="13"/>
        <v>3523.29</v>
      </c>
      <c r="P303" s="215">
        <f t="shared" si="15"/>
        <v>1092.733601374307</v>
      </c>
      <c r="Q303" s="215" cm="1">
        <f t="array" ref="Q303">IF(P303="-",0,P303/(1+'General inputs'!$H$32)^IFERROR(INDEX('MP Calculations'!$C$40:$C$130,MATCH(F303,'MP Calculations'!$D$40:$D$130,0),0),-1))</f>
        <v>1943.8482737999188</v>
      </c>
    </row>
    <row r="304" spans="3:17" x14ac:dyDescent="0.25">
      <c r="C304" s="159"/>
      <c r="D304" s="165" t="s">
        <v>578</v>
      </c>
      <c r="E304" s="161">
        <v>39814</v>
      </c>
      <c r="F304" s="172" t="str">
        <f t="shared" si="14"/>
        <v>2008-09</v>
      </c>
      <c r="G304" s="68"/>
      <c r="H304" s="167" t="s">
        <v>279</v>
      </c>
      <c r="I304" s="173">
        <v>89592.114709699614</v>
      </c>
      <c r="J304" s="168">
        <f>IFERROR(MIN('MP Calculations'!$E$30/I304,1),"-")</f>
        <v>0.31014580161562261</v>
      </c>
      <c r="K304" s="12"/>
      <c r="L304" s="159">
        <v>1</v>
      </c>
      <c r="M304" s="159" t="s">
        <v>409</v>
      </c>
      <c r="N304" s="159">
        <v>2182.8200000000002</v>
      </c>
      <c r="O304" s="185">
        <f t="shared" si="13"/>
        <v>2182.8200000000002</v>
      </c>
      <c r="P304" s="215">
        <f t="shared" si="15"/>
        <v>676.99245868261335</v>
      </c>
      <c r="Q304" s="215" cm="1">
        <f t="array" ref="Q304">IF(P304="-",0,P304/(1+'General inputs'!$H$32)^IFERROR(INDEX('MP Calculations'!$C$40:$C$130,MATCH(F304,'MP Calculations'!$D$40:$D$130,0),0),-1))</f>
        <v>1204.2922634855315</v>
      </c>
    </row>
    <row r="305" spans="3:17" x14ac:dyDescent="0.25">
      <c r="C305" s="159"/>
      <c r="D305" s="165" t="s">
        <v>579</v>
      </c>
      <c r="E305" s="161">
        <v>39814</v>
      </c>
      <c r="F305" s="172" t="str">
        <f t="shared" si="14"/>
        <v>2008-09</v>
      </c>
      <c r="G305" s="68"/>
      <c r="H305" s="167" t="s">
        <v>279</v>
      </c>
      <c r="I305" s="173">
        <v>89592.114709699614</v>
      </c>
      <c r="J305" s="168">
        <f>IFERROR(MIN('MP Calculations'!$E$30/I305,1),"-")</f>
        <v>0.31014580161562261</v>
      </c>
      <c r="K305" s="12"/>
      <c r="L305" s="159">
        <v>1</v>
      </c>
      <c r="M305" s="159" t="s">
        <v>409</v>
      </c>
      <c r="N305" s="159">
        <v>2098.34</v>
      </c>
      <c r="O305" s="185">
        <f t="shared" si="13"/>
        <v>2098.34</v>
      </c>
      <c r="P305" s="215">
        <f t="shared" si="15"/>
        <v>650.79134136212554</v>
      </c>
      <c r="Q305" s="215" cm="1">
        <f t="array" ref="Q305">IF(P305="-",0,P305/(1+'General inputs'!$H$32)^IFERROR(INDEX('MP Calculations'!$C$40:$C$130,MATCH(F305,'MP Calculations'!$D$40:$D$130,0),0),-1))</f>
        <v>1157.683468248518</v>
      </c>
    </row>
    <row r="306" spans="3:17" x14ac:dyDescent="0.25">
      <c r="C306" s="159"/>
      <c r="D306" s="165" t="s">
        <v>580</v>
      </c>
      <c r="E306" s="161">
        <v>39814</v>
      </c>
      <c r="F306" s="172" t="str">
        <f t="shared" si="14"/>
        <v>2008-09</v>
      </c>
      <c r="G306" s="68"/>
      <c r="H306" s="167" t="s">
        <v>279</v>
      </c>
      <c r="I306" s="173">
        <v>89592.114709699614</v>
      </c>
      <c r="J306" s="168">
        <f>IFERROR(MIN('MP Calculations'!$E$30/I306,1),"-")</f>
        <v>0.31014580161562261</v>
      </c>
      <c r="K306" s="12"/>
      <c r="L306" s="159">
        <v>1</v>
      </c>
      <c r="M306" s="159" t="s">
        <v>409</v>
      </c>
      <c r="N306" s="159">
        <v>67883.179999999993</v>
      </c>
      <c r="O306" s="185">
        <f t="shared" si="13"/>
        <v>67883.179999999993</v>
      </c>
      <c r="P306" s="215">
        <f t="shared" si="15"/>
        <v>21053.683277317599</v>
      </c>
      <c r="Q306" s="215" cm="1">
        <f t="array" ref="Q306">IF(P306="-",0,P306/(1+'General inputs'!$H$32)^IFERROR(INDEX('MP Calculations'!$C$40:$C$130,MATCH(F306,'MP Calculations'!$D$40:$D$130,0),0),-1))</f>
        <v>37452.097971796007</v>
      </c>
    </row>
    <row r="307" spans="3:17" x14ac:dyDescent="0.25">
      <c r="C307" s="159"/>
      <c r="D307" s="165" t="s">
        <v>581</v>
      </c>
      <c r="E307" s="161">
        <v>39814</v>
      </c>
      <c r="F307" s="172" t="str">
        <f t="shared" si="14"/>
        <v>2008-09</v>
      </c>
      <c r="G307" s="68"/>
      <c r="H307" s="167" t="s">
        <v>279</v>
      </c>
      <c r="I307" s="173">
        <v>89592.114709699614</v>
      </c>
      <c r="J307" s="168">
        <f>IFERROR(MIN('MP Calculations'!$E$30/I307,1),"-")</f>
        <v>0.31014580161562261</v>
      </c>
      <c r="K307" s="12"/>
      <c r="L307" s="159">
        <v>1</v>
      </c>
      <c r="M307" s="159" t="s">
        <v>409</v>
      </c>
      <c r="N307" s="159">
        <v>22999.99</v>
      </c>
      <c r="O307" s="185">
        <f t="shared" si="13"/>
        <v>22999.99</v>
      </c>
      <c r="P307" s="215">
        <f t="shared" si="15"/>
        <v>7133.3503357013042</v>
      </c>
      <c r="Q307" s="215" cm="1">
        <f t="array" ref="Q307">IF(P307="-",0,P307/(1+'General inputs'!$H$32)^IFERROR(INDEX('MP Calculations'!$C$40:$C$130,MATCH(F307,'MP Calculations'!$D$40:$D$130,0),0),-1))</f>
        <v>12689.415534604133</v>
      </c>
    </row>
    <row r="308" spans="3:17" x14ac:dyDescent="0.25">
      <c r="C308" s="159"/>
      <c r="D308" s="165" t="s">
        <v>582</v>
      </c>
      <c r="E308" s="161">
        <v>39814</v>
      </c>
      <c r="F308" s="172" t="str">
        <f t="shared" si="14"/>
        <v>2008-09</v>
      </c>
      <c r="G308" s="68"/>
      <c r="H308" s="167" t="s">
        <v>279</v>
      </c>
      <c r="I308" s="173">
        <v>89592.114709699614</v>
      </c>
      <c r="J308" s="168">
        <f>IFERROR(MIN('MP Calculations'!$E$30/I308,1),"-")</f>
        <v>0.31014580161562261</v>
      </c>
      <c r="K308" s="12"/>
      <c r="L308" s="159">
        <v>1</v>
      </c>
      <c r="M308" s="159" t="s">
        <v>409</v>
      </c>
      <c r="N308" s="159">
        <v>8742.68</v>
      </c>
      <c r="O308" s="185">
        <f t="shared" si="13"/>
        <v>8742.68</v>
      </c>
      <c r="P308" s="215">
        <f t="shared" si="15"/>
        <v>2711.5054968688714</v>
      </c>
      <c r="Q308" s="215" cm="1">
        <f t="array" ref="Q308">IF(P308="-",0,P308/(1+'General inputs'!$H$32)^IFERROR(INDEX('MP Calculations'!$C$40:$C$130,MATCH(F308,'MP Calculations'!$D$40:$D$130,0),0),-1))</f>
        <v>4823.4585930721214</v>
      </c>
    </row>
    <row r="309" spans="3:17" x14ac:dyDescent="0.25">
      <c r="C309" s="159"/>
      <c r="D309" s="165" t="s">
        <v>582</v>
      </c>
      <c r="E309" s="161">
        <v>39814</v>
      </c>
      <c r="F309" s="172" t="str">
        <f t="shared" si="14"/>
        <v>2008-09</v>
      </c>
      <c r="G309" s="68"/>
      <c r="H309" s="167" t="s">
        <v>279</v>
      </c>
      <c r="I309" s="173">
        <v>89592.114709699614</v>
      </c>
      <c r="J309" s="168">
        <f>IFERROR(MIN('MP Calculations'!$E$30/I309,1),"-")</f>
        <v>0.31014580161562261</v>
      </c>
      <c r="K309" s="12"/>
      <c r="L309" s="159">
        <v>1</v>
      </c>
      <c r="M309" s="159" t="s">
        <v>409</v>
      </c>
      <c r="N309" s="159">
        <v>2528.3200000000002</v>
      </c>
      <c r="O309" s="185">
        <f t="shared" si="13"/>
        <v>2528.3200000000002</v>
      </c>
      <c r="P309" s="215">
        <f t="shared" si="15"/>
        <v>784.14783314081103</v>
      </c>
      <c r="Q309" s="215" cm="1">
        <f t="array" ref="Q309">IF(P309="-",0,P309/(1+'General inputs'!$H$32)^IFERROR(INDEX('MP Calculations'!$C$40:$C$130,MATCH(F309,'MP Calculations'!$D$40:$D$130,0),0),-1))</f>
        <v>1394.9094362410733</v>
      </c>
    </row>
    <row r="310" spans="3:17" x14ac:dyDescent="0.25">
      <c r="C310" s="159"/>
      <c r="D310" s="165" t="s">
        <v>583</v>
      </c>
      <c r="E310" s="161">
        <v>39814</v>
      </c>
      <c r="F310" s="172" t="str">
        <f t="shared" si="14"/>
        <v>2008-09</v>
      </c>
      <c r="G310" s="68"/>
      <c r="H310" s="167" t="s">
        <v>279</v>
      </c>
      <c r="I310" s="173">
        <v>89592.114709699614</v>
      </c>
      <c r="J310" s="168">
        <f>IFERROR(MIN('MP Calculations'!$E$30/I310,1),"-")</f>
        <v>0.31014580161562261</v>
      </c>
      <c r="K310" s="12"/>
      <c r="L310" s="159">
        <v>1</v>
      </c>
      <c r="M310" s="159" t="s">
        <v>409</v>
      </c>
      <c r="N310" s="159">
        <v>200.02</v>
      </c>
      <c r="O310" s="185">
        <f t="shared" si="13"/>
        <v>200.02</v>
      </c>
      <c r="P310" s="215">
        <f t="shared" si="15"/>
        <v>62.035363239156837</v>
      </c>
      <c r="Q310" s="215" cm="1">
        <f t="array" ref="Q310">IF(P310="-",0,P310/(1+'General inputs'!$H$32)^IFERROR(INDEX('MP Calculations'!$C$40:$C$130,MATCH(F310,'MP Calculations'!$D$40:$D$130,0),0),-1))</f>
        <v>110.35382603346865</v>
      </c>
    </row>
    <row r="311" spans="3:17" x14ac:dyDescent="0.25">
      <c r="C311" s="159"/>
      <c r="D311" s="165" t="s">
        <v>584</v>
      </c>
      <c r="E311" s="161">
        <v>39814</v>
      </c>
      <c r="F311" s="172" t="str">
        <f t="shared" si="14"/>
        <v>2008-09</v>
      </c>
      <c r="G311" s="68"/>
      <c r="H311" s="167" t="s">
        <v>279</v>
      </c>
      <c r="I311" s="173">
        <v>89592.114709699614</v>
      </c>
      <c r="J311" s="168">
        <f>IFERROR(MIN('MP Calculations'!$E$30/I311,1),"-")</f>
        <v>0.31014580161562261</v>
      </c>
      <c r="K311" s="12"/>
      <c r="L311" s="159">
        <v>1</v>
      </c>
      <c r="M311" s="159" t="s">
        <v>409</v>
      </c>
      <c r="N311" s="159">
        <v>18109.7</v>
      </c>
      <c r="O311" s="185">
        <f t="shared" si="13"/>
        <v>18109.7</v>
      </c>
      <c r="P311" s="215">
        <f t="shared" si="15"/>
        <v>5616.6474235184405</v>
      </c>
      <c r="Q311" s="215" cm="1">
        <f t="array" ref="Q311">IF(P311="-",0,P311/(1+'General inputs'!$H$32)^IFERROR(INDEX('MP Calculations'!$C$40:$C$130,MATCH(F311,'MP Calculations'!$D$40:$D$130,0),0),-1))</f>
        <v>9991.3742791636196</v>
      </c>
    </row>
    <row r="312" spans="3:17" x14ac:dyDescent="0.25">
      <c r="C312" s="159"/>
      <c r="D312" s="165" t="s">
        <v>584</v>
      </c>
      <c r="E312" s="161">
        <v>39814</v>
      </c>
      <c r="F312" s="172" t="str">
        <f t="shared" si="14"/>
        <v>2008-09</v>
      </c>
      <c r="G312" s="68"/>
      <c r="H312" s="167" t="s">
        <v>279</v>
      </c>
      <c r="I312" s="173">
        <v>89592.114709699614</v>
      </c>
      <c r="J312" s="168">
        <f>IFERROR(MIN('MP Calculations'!$E$30/I312,1),"-")</f>
        <v>0.31014580161562261</v>
      </c>
      <c r="K312" s="12"/>
      <c r="L312" s="159">
        <v>1</v>
      </c>
      <c r="M312" s="159" t="s">
        <v>409</v>
      </c>
      <c r="N312" s="159">
        <v>6959.13</v>
      </c>
      <c r="O312" s="185">
        <f t="shared" si="13"/>
        <v>6959.13</v>
      </c>
      <c r="P312" s="215">
        <f t="shared" si="15"/>
        <v>2158.3449523973277</v>
      </c>
      <c r="Q312" s="215" cm="1">
        <f t="array" ref="Q312">IF(P312="-",0,P312/(1+'General inputs'!$H$32)^IFERROR(INDEX('MP Calculations'!$C$40:$C$130,MATCH(F312,'MP Calculations'!$D$40:$D$130,0),0),-1))</f>
        <v>3839.4491619052724</v>
      </c>
    </row>
    <row r="313" spans="3:17" x14ac:dyDescent="0.25">
      <c r="C313" s="159"/>
      <c r="D313" s="165" t="s">
        <v>585</v>
      </c>
      <c r="E313" s="161">
        <v>39814</v>
      </c>
      <c r="F313" s="172" t="str">
        <f t="shared" si="14"/>
        <v>2008-09</v>
      </c>
      <c r="G313" s="68"/>
      <c r="H313" s="167" t="s">
        <v>279</v>
      </c>
      <c r="I313" s="173">
        <v>89592.114709699614</v>
      </c>
      <c r="J313" s="168">
        <f>IFERROR(MIN('MP Calculations'!$E$30/I313,1),"-")</f>
        <v>0.31014580161562261</v>
      </c>
      <c r="K313" s="12"/>
      <c r="L313" s="159">
        <v>1</v>
      </c>
      <c r="M313" s="159" t="s">
        <v>409</v>
      </c>
      <c r="N313" s="159">
        <v>7807.52</v>
      </c>
      <c r="O313" s="185">
        <f t="shared" si="13"/>
        <v>7807.52</v>
      </c>
      <c r="P313" s="215">
        <f t="shared" si="15"/>
        <v>2421.469549030006</v>
      </c>
      <c r="Q313" s="215" cm="1">
        <f t="array" ref="Q313">IF(P313="-",0,P313/(1+'General inputs'!$H$32)^IFERROR(INDEX('MP Calculations'!$C$40:$C$130,MATCH(F313,'MP Calculations'!$D$40:$D$130,0),0),-1))</f>
        <v>4307.5177673873968</v>
      </c>
    </row>
    <row r="314" spans="3:17" x14ac:dyDescent="0.25">
      <c r="C314" s="159"/>
      <c r="D314" s="165" t="s">
        <v>586</v>
      </c>
      <c r="E314" s="161">
        <v>39814</v>
      </c>
      <c r="F314" s="172" t="str">
        <f t="shared" si="14"/>
        <v>2008-09</v>
      </c>
      <c r="G314" s="68"/>
      <c r="H314" s="167" t="s">
        <v>279</v>
      </c>
      <c r="I314" s="173">
        <v>89592.114709699614</v>
      </c>
      <c r="J314" s="168">
        <f>IFERROR(MIN('MP Calculations'!$E$30/I314,1),"-")</f>
        <v>0.31014580161562261</v>
      </c>
      <c r="K314" s="12"/>
      <c r="L314" s="159">
        <v>1</v>
      </c>
      <c r="M314" s="159" t="s">
        <v>409</v>
      </c>
      <c r="N314" s="159">
        <v>57908.25</v>
      </c>
      <c r="O314" s="185">
        <f t="shared" si="13"/>
        <v>57908.25</v>
      </c>
      <c r="P314" s="215">
        <f t="shared" si="15"/>
        <v>17960.000616407877</v>
      </c>
      <c r="Q314" s="215" cm="1">
        <f t="array" ref="Q314">IF(P314="-",0,P314/(1+'General inputs'!$H$32)^IFERROR(INDEX('MP Calculations'!$C$40:$C$130,MATCH(F314,'MP Calculations'!$D$40:$D$130,0),0),-1))</f>
        <v>31948.789853027749</v>
      </c>
    </row>
    <row r="315" spans="3:17" x14ac:dyDescent="0.25">
      <c r="C315" s="159"/>
      <c r="D315" s="165" t="s">
        <v>587</v>
      </c>
      <c r="E315" s="161">
        <v>39814</v>
      </c>
      <c r="F315" s="172" t="str">
        <f t="shared" si="14"/>
        <v>2008-09</v>
      </c>
      <c r="G315" s="68"/>
      <c r="H315" s="167" t="s">
        <v>279</v>
      </c>
      <c r="I315" s="173">
        <v>89592.114709699614</v>
      </c>
      <c r="J315" s="168">
        <f>IFERROR(MIN('MP Calculations'!$E$30/I315,1),"-")</f>
        <v>0.31014580161562261</v>
      </c>
      <c r="K315" s="12"/>
      <c r="L315" s="159">
        <v>1</v>
      </c>
      <c r="M315" s="159" t="s">
        <v>409</v>
      </c>
      <c r="N315" s="159">
        <v>2152.2800000000002</v>
      </c>
      <c r="O315" s="185">
        <f t="shared" si="13"/>
        <v>2152.2800000000002</v>
      </c>
      <c r="P315" s="215">
        <f t="shared" si="15"/>
        <v>667.52060590127223</v>
      </c>
      <c r="Q315" s="215" cm="1">
        <f t="array" ref="Q315">IF(P315="-",0,P315/(1+'General inputs'!$H$32)^IFERROR(INDEX('MP Calculations'!$C$40:$C$130,MATCH(F315,'MP Calculations'!$D$40:$D$130,0),0),-1))</f>
        <v>1187.4429191846509</v>
      </c>
    </row>
    <row r="316" spans="3:17" x14ac:dyDescent="0.25">
      <c r="C316" s="159"/>
      <c r="D316" s="165" t="s">
        <v>588</v>
      </c>
      <c r="E316" s="161">
        <v>39814</v>
      </c>
      <c r="F316" s="172" t="str">
        <f t="shared" si="14"/>
        <v>2008-09</v>
      </c>
      <c r="G316" s="68"/>
      <c r="H316" s="167" t="s">
        <v>279</v>
      </c>
      <c r="I316" s="173">
        <v>89592.114709699614</v>
      </c>
      <c r="J316" s="168">
        <f>IFERROR(MIN('MP Calculations'!$E$30/I316,1),"-")</f>
        <v>0.31014580161562261</v>
      </c>
      <c r="K316" s="12"/>
      <c r="L316" s="159">
        <v>1</v>
      </c>
      <c r="M316" s="159" t="s">
        <v>409</v>
      </c>
      <c r="N316" s="159">
        <v>15190.99</v>
      </c>
      <c r="O316" s="185">
        <f t="shared" si="13"/>
        <v>15190.99</v>
      </c>
      <c r="P316" s="215">
        <f t="shared" si="15"/>
        <v>4711.4217708849064</v>
      </c>
      <c r="Q316" s="215" cm="1">
        <f t="array" ref="Q316">IF(P316="-",0,P316/(1+'General inputs'!$H$32)^IFERROR(INDEX('MP Calculations'!$C$40:$C$130,MATCH(F316,'MP Calculations'!$D$40:$D$130,0),0),-1))</f>
        <v>8381.0812305577529</v>
      </c>
    </row>
    <row r="317" spans="3:17" x14ac:dyDescent="0.25">
      <c r="C317" s="159"/>
      <c r="D317" s="165" t="s">
        <v>588</v>
      </c>
      <c r="E317" s="161">
        <v>39814</v>
      </c>
      <c r="F317" s="172" t="str">
        <f t="shared" si="14"/>
        <v>2008-09</v>
      </c>
      <c r="G317" s="68"/>
      <c r="H317" s="167" t="s">
        <v>279</v>
      </c>
      <c r="I317" s="173">
        <v>89592.114709699614</v>
      </c>
      <c r="J317" s="168">
        <f>IFERROR(MIN('MP Calculations'!$E$30/I317,1),"-")</f>
        <v>0.31014580161562261</v>
      </c>
      <c r="K317" s="12"/>
      <c r="L317" s="159">
        <v>1</v>
      </c>
      <c r="M317" s="159" t="s">
        <v>409</v>
      </c>
      <c r="N317" s="159">
        <v>8080.88</v>
      </c>
      <c r="O317" s="185">
        <f t="shared" si="13"/>
        <v>8080.88</v>
      </c>
      <c r="P317" s="215">
        <f t="shared" si="15"/>
        <v>2506.2510053596525</v>
      </c>
      <c r="Q317" s="215" cm="1">
        <f t="array" ref="Q317">IF(P317="-",0,P317/(1+'General inputs'!$H$32)^IFERROR(INDEX('MP Calculations'!$C$40:$C$130,MATCH(F317,'MP Calculations'!$D$40:$D$130,0),0),-1))</f>
        <v>4458.3342951571649</v>
      </c>
    </row>
    <row r="318" spans="3:17" x14ac:dyDescent="0.25">
      <c r="C318" s="159"/>
      <c r="D318" s="165" t="s">
        <v>589</v>
      </c>
      <c r="E318" s="161">
        <v>39814</v>
      </c>
      <c r="F318" s="172" t="str">
        <f t="shared" si="14"/>
        <v>2008-09</v>
      </c>
      <c r="G318" s="68"/>
      <c r="H318" s="167" t="s">
        <v>279</v>
      </c>
      <c r="I318" s="173">
        <v>89592.114709699614</v>
      </c>
      <c r="J318" s="168">
        <f>IFERROR(MIN('MP Calculations'!$E$30/I318,1),"-")</f>
        <v>0.31014580161562261</v>
      </c>
      <c r="K318" s="12"/>
      <c r="L318" s="159">
        <v>1</v>
      </c>
      <c r="M318" s="159" t="s">
        <v>409</v>
      </c>
      <c r="N318" s="159">
        <v>654517.18000000005</v>
      </c>
      <c r="O318" s="185">
        <f t="shared" si="13"/>
        <v>654517.18000000005</v>
      </c>
      <c r="P318" s="215">
        <f t="shared" si="15"/>
        <v>202995.75546229677</v>
      </c>
      <c r="Q318" s="215" cm="1">
        <f t="array" ref="Q318">IF(P318="-",0,P318/(1+'General inputs'!$H$32)^IFERROR(INDEX('MP Calculations'!$C$40:$C$130,MATCH(F318,'MP Calculations'!$D$40:$D$130,0),0),-1))</f>
        <v>361106.26446173625</v>
      </c>
    </row>
    <row r="319" spans="3:17" x14ac:dyDescent="0.25">
      <c r="C319" s="159"/>
      <c r="D319" s="165" t="s">
        <v>590</v>
      </c>
      <c r="E319" s="161">
        <v>39814</v>
      </c>
      <c r="F319" s="172" t="str">
        <f t="shared" si="14"/>
        <v>2008-09</v>
      </c>
      <c r="G319" s="68"/>
      <c r="H319" s="167" t="s">
        <v>279</v>
      </c>
      <c r="I319" s="173">
        <v>89592.114709699614</v>
      </c>
      <c r="J319" s="168">
        <f>IFERROR(MIN('MP Calculations'!$E$30/I319,1),"-")</f>
        <v>0.31014580161562261</v>
      </c>
      <c r="K319" s="12"/>
      <c r="L319" s="159">
        <v>1</v>
      </c>
      <c r="M319" s="159" t="s">
        <v>409</v>
      </c>
      <c r="N319" s="159">
        <v>2731.66</v>
      </c>
      <c r="O319" s="185">
        <f t="shared" si="13"/>
        <v>2731.66</v>
      </c>
      <c r="P319" s="215">
        <f t="shared" si="15"/>
        <v>847.21288044133155</v>
      </c>
      <c r="Q319" s="215" cm="1">
        <f t="array" ref="Q319">IF(P319="-",0,P319/(1+'General inputs'!$H$32)^IFERROR(INDEX('MP Calculations'!$C$40:$C$130,MATCH(F319,'MP Calculations'!$D$40:$D$130,0),0),-1))</f>
        <v>1507.0949526176628</v>
      </c>
    </row>
    <row r="320" spans="3:17" x14ac:dyDescent="0.25">
      <c r="C320" s="159"/>
      <c r="D320" s="165" t="s">
        <v>591</v>
      </c>
      <c r="E320" s="161">
        <v>39814</v>
      </c>
      <c r="F320" s="172" t="str">
        <f t="shared" si="14"/>
        <v>2008-09</v>
      </c>
      <c r="G320" s="68"/>
      <c r="H320" s="167" t="s">
        <v>279</v>
      </c>
      <c r="I320" s="173">
        <v>89592.114709699614</v>
      </c>
      <c r="J320" s="168">
        <f>IFERROR(MIN('MP Calculations'!$E$30/I320,1),"-")</f>
        <v>0.31014580161562261</v>
      </c>
      <c r="K320" s="12"/>
      <c r="L320" s="159">
        <v>1</v>
      </c>
      <c r="M320" s="159" t="s">
        <v>409</v>
      </c>
      <c r="N320" s="159">
        <v>16220.94</v>
      </c>
      <c r="O320" s="185">
        <f t="shared" si="13"/>
        <v>16220.94</v>
      </c>
      <c r="P320" s="215">
        <f t="shared" si="15"/>
        <v>5030.8564392589178</v>
      </c>
      <c r="Q320" s="215" cm="1">
        <f t="array" ref="Q320">IF(P320="-",0,P320/(1+'General inputs'!$H$32)^IFERROR(INDEX('MP Calculations'!$C$40:$C$130,MATCH(F320,'MP Calculations'!$D$40:$D$130,0),0),-1))</f>
        <v>8949.3190223944257</v>
      </c>
    </row>
    <row r="321" spans="3:17" x14ac:dyDescent="0.25">
      <c r="C321" s="159"/>
      <c r="D321" s="165" t="s">
        <v>592</v>
      </c>
      <c r="E321" s="161">
        <v>39814</v>
      </c>
      <c r="F321" s="172" t="str">
        <f t="shared" si="14"/>
        <v>2008-09</v>
      </c>
      <c r="G321" s="68"/>
      <c r="H321" s="167" t="s">
        <v>279</v>
      </c>
      <c r="I321" s="173">
        <v>89592.114709699614</v>
      </c>
      <c r="J321" s="168">
        <f>IFERROR(MIN('MP Calculations'!$E$30/I321,1),"-")</f>
        <v>0.31014580161562261</v>
      </c>
      <c r="K321" s="12"/>
      <c r="L321" s="159">
        <v>1</v>
      </c>
      <c r="M321" s="159" t="s">
        <v>409</v>
      </c>
      <c r="N321" s="159">
        <v>1947.2</v>
      </c>
      <c r="O321" s="185">
        <f t="shared" ref="O321:O384" si="16">IF(N321="","-",L321*N321)</f>
        <v>1947.2</v>
      </c>
      <c r="P321" s="215">
        <f t="shared" si="15"/>
        <v>603.91590490594035</v>
      </c>
      <c r="Q321" s="215" cm="1">
        <f t="array" ref="Q321">IF(P321="-",0,P321/(1+'General inputs'!$H$32)^IFERROR(INDEX('MP Calculations'!$C$40:$C$130,MATCH(F321,'MP Calculations'!$D$40:$D$130,0),0),-1))</f>
        <v>1074.2974205197988</v>
      </c>
    </row>
    <row r="322" spans="3:17" x14ac:dyDescent="0.25">
      <c r="C322" s="159"/>
      <c r="D322" s="165" t="s">
        <v>592</v>
      </c>
      <c r="E322" s="161">
        <v>39814</v>
      </c>
      <c r="F322" s="172" t="str">
        <f t="shared" si="14"/>
        <v>2008-09</v>
      </c>
      <c r="G322" s="68"/>
      <c r="H322" s="167" t="s">
        <v>279</v>
      </c>
      <c r="I322" s="173">
        <v>89592.114709699614</v>
      </c>
      <c r="J322" s="168">
        <f>IFERROR(MIN('MP Calculations'!$E$30/I322,1),"-")</f>
        <v>0.31014580161562261</v>
      </c>
      <c r="K322" s="12"/>
      <c r="L322" s="159">
        <v>1</v>
      </c>
      <c r="M322" s="159" t="s">
        <v>409</v>
      </c>
      <c r="N322" s="159">
        <v>12457.72</v>
      </c>
      <c r="O322" s="185">
        <f t="shared" si="16"/>
        <v>12457.72</v>
      </c>
      <c r="P322" s="215">
        <f t="shared" si="15"/>
        <v>3863.7095557029738</v>
      </c>
      <c r="Q322" s="215" cm="1">
        <f t="array" ref="Q322">IF(P322="-",0,P322/(1+'General inputs'!$H$32)^IFERROR(INDEX('MP Calculations'!$C$40:$C$130,MATCH(F322,'MP Calculations'!$D$40:$D$130,0),0),-1))</f>
        <v>6873.0980184664677</v>
      </c>
    </row>
    <row r="323" spans="3:17" x14ac:dyDescent="0.25">
      <c r="C323" s="159"/>
      <c r="D323" s="165" t="s">
        <v>593</v>
      </c>
      <c r="E323" s="161">
        <v>39814</v>
      </c>
      <c r="F323" s="172" t="str">
        <f t="shared" si="14"/>
        <v>2008-09</v>
      </c>
      <c r="G323" s="68"/>
      <c r="H323" s="167" t="s">
        <v>279</v>
      </c>
      <c r="I323" s="173">
        <v>89592.114709699614</v>
      </c>
      <c r="J323" s="168">
        <f>IFERROR(MIN('MP Calculations'!$E$30/I323,1),"-")</f>
        <v>0.31014580161562261</v>
      </c>
      <c r="K323" s="12"/>
      <c r="L323" s="159">
        <v>1</v>
      </c>
      <c r="M323" s="159" t="s">
        <v>409</v>
      </c>
      <c r="N323" s="159">
        <v>5207.67</v>
      </c>
      <c r="O323" s="185">
        <f t="shared" si="16"/>
        <v>5207.67</v>
      </c>
      <c r="P323" s="215">
        <f t="shared" si="15"/>
        <v>1615.1369866996295</v>
      </c>
      <c r="Q323" s="215" cm="1">
        <f t="array" ref="Q323">IF(P323="-",0,P323/(1+'General inputs'!$H$32)^IFERROR(INDEX('MP Calculations'!$C$40:$C$130,MATCH(F323,'MP Calculations'!$D$40:$D$130,0),0),-1))</f>
        <v>2873.144231675401</v>
      </c>
    </row>
    <row r="324" spans="3:17" x14ac:dyDescent="0.25">
      <c r="C324" s="159"/>
      <c r="D324" s="165" t="s">
        <v>593</v>
      </c>
      <c r="E324" s="161">
        <v>39814</v>
      </c>
      <c r="F324" s="172" t="str">
        <f t="shared" si="14"/>
        <v>2008-09</v>
      </c>
      <c r="G324" s="68"/>
      <c r="H324" s="167" t="s">
        <v>279</v>
      </c>
      <c r="I324" s="173">
        <v>89592.114709699614</v>
      </c>
      <c r="J324" s="168">
        <f>IFERROR(MIN('MP Calculations'!$E$30/I324,1),"-")</f>
        <v>0.31014580161562261</v>
      </c>
      <c r="K324" s="12"/>
      <c r="L324" s="159">
        <v>1</v>
      </c>
      <c r="M324" s="159" t="s">
        <v>409</v>
      </c>
      <c r="N324" s="159">
        <v>2497.5100000000002</v>
      </c>
      <c r="O324" s="185">
        <f t="shared" si="16"/>
        <v>2497.5100000000002</v>
      </c>
      <c r="P324" s="215">
        <f t="shared" si="15"/>
        <v>774.59224099303367</v>
      </c>
      <c r="Q324" s="215" cm="1">
        <f t="array" ref="Q324">IF(P324="-",0,P324/(1+'General inputs'!$H$32)^IFERROR(INDEX('MP Calculations'!$C$40:$C$130,MATCH(F324,'MP Calculations'!$D$40:$D$130,0),0),-1))</f>
        <v>1377.9111291713243</v>
      </c>
    </row>
    <row r="325" spans="3:17" x14ac:dyDescent="0.25">
      <c r="C325" s="159"/>
      <c r="D325" s="165" t="s">
        <v>594</v>
      </c>
      <c r="E325" s="161">
        <v>39814</v>
      </c>
      <c r="F325" s="172" t="str">
        <f t="shared" si="14"/>
        <v>2008-09</v>
      </c>
      <c r="G325" s="68"/>
      <c r="H325" s="167" t="s">
        <v>279</v>
      </c>
      <c r="I325" s="173">
        <v>89592.114709699614</v>
      </c>
      <c r="J325" s="168">
        <f>IFERROR(MIN('MP Calculations'!$E$30/I325,1),"-")</f>
        <v>0.31014580161562261</v>
      </c>
      <c r="K325" s="12"/>
      <c r="L325" s="159">
        <v>1</v>
      </c>
      <c r="M325" s="159" t="s">
        <v>409</v>
      </c>
      <c r="N325" s="159">
        <v>2398.39</v>
      </c>
      <c r="O325" s="185">
        <f t="shared" si="16"/>
        <v>2398.39</v>
      </c>
      <c r="P325" s="215">
        <f t="shared" si="15"/>
        <v>743.85058913689306</v>
      </c>
      <c r="Q325" s="215" cm="1">
        <f t="array" ref="Q325">IF(P325="-",0,P325/(1+'General inputs'!$H$32)^IFERROR(INDEX('MP Calculations'!$C$40:$C$130,MATCH(F325,'MP Calculations'!$D$40:$D$130,0),0),-1))</f>
        <v>1323.2252415778964</v>
      </c>
    </row>
    <row r="326" spans="3:17" x14ac:dyDescent="0.25">
      <c r="C326" s="159"/>
      <c r="D326" s="165" t="s">
        <v>595</v>
      </c>
      <c r="E326" s="161">
        <v>39814</v>
      </c>
      <c r="F326" s="172" t="str">
        <f t="shared" si="14"/>
        <v>2008-09</v>
      </c>
      <c r="G326" s="68"/>
      <c r="H326" s="167" t="s">
        <v>279</v>
      </c>
      <c r="I326" s="173">
        <v>89592.114709699614</v>
      </c>
      <c r="J326" s="168">
        <f>IFERROR(MIN('MP Calculations'!$E$30/I326,1),"-")</f>
        <v>0.31014580161562261</v>
      </c>
      <c r="K326" s="12"/>
      <c r="L326" s="159">
        <v>1</v>
      </c>
      <c r="M326" s="159" t="s">
        <v>409</v>
      </c>
      <c r="N326" s="159">
        <v>1703.3</v>
      </c>
      <c r="O326" s="185">
        <f t="shared" si="16"/>
        <v>1703.3</v>
      </c>
      <c r="P326" s="215">
        <f t="shared" si="15"/>
        <v>528.27134389188996</v>
      </c>
      <c r="Q326" s="215" cm="1">
        <f t="array" ref="Q326">IF(P326="-",0,P326/(1+'General inputs'!$H$32)^IFERROR(INDEX('MP Calculations'!$C$40:$C$130,MATCH(F326,'MP Calculations'!$D$40:$D$130,0),0),-1))</f>
        <v>939.73438597543816</v>
      </c>
    </row>
    <row r="327" spans="3:17" x14ac:dyDescent="0.25">
      <c r="C327" s="159"/>
      <c r="D327" s="165" t="s">
        <v>596</v>
      </c>
      <c r="E327" s="161">
        <v>39814</v>
      </c>
      <c r="F327" s="172" t="str">
        <f t="shared" si="14"/>
        <v>2008-09</v>
      </c>
      <c r="G327" s="68"/>
      <c r="H327" s="167" t="s">
        <v>279</v>
      </c>
      <c r="I327" s="173">
        <v>89592.114709699614</v>
      </c>
      <c r="J327" s="168">
        <f>IFERROR(MIN('MP Calculations'!$E$30/I327,1),"-")</f>
        <v>0.31014580161562261</v>
      </c>
      <c r="K327" s="12"/>
      <c r="L327" s="159">
        <v>1</v>
      </c>
      <c r="M327" s="159" t="s">
        <v>409</v>
      </c>
      <c r="N327" s="159">
        <v>2065.5100000000002</v>
      </c>
      <c r="O327" s="185">
        <f t="shared" si="16"/>
        <v>2065.5100000000002</v>
      </c>
      <c r="P327" s="215">
        <f t="shared" si="15"/>
        <v>640.6092546950847</v>
      </c>
      <c r="Q327" s="215" cm="1">
        <f t="array" ref="Q327">IF(P327="-",0,P327/(1+'General inputs'!$H$32)^IFERROR(INDEX('MP Calculations'!$C$40:$C$130,MATCH(F327,'MP Calculations'!$D$40:$D$130,0),0),-1))</f>
        <v>1139.570698982051</v>
      </c>
    </row>
    <row r="328" spans="3:17" x14ac:dyDescent="0.25">
      <c r="C328" s="159"/>
      <c r="D328" s="165" t="s">
        <v>596</v>
      </c>
      <c r="E328" s="161">
        <v>39814</v>
      </c>
      <c r="F328" s="172" t="str">
        <f t="shared" si="14"/>
        <v>2008-09</v>
      </c>
      <c r="G328" s="68"/>
      <c r="H328" s="167" t="s">
        <v>279</v>
      </c>
      <c r="I328" s="173">
        <v>89592.114709699614</v>
      </c>
      <c r="J328" s="168">
        <f>IFERROR(MIN('MP Calculations'!$E$30/I328,1),"-")</f>
        <v>0.31014580161562261</v>
      </c>
      <c r="K328" s="12"/>
      <c r="L328" s="159">
        <v>1</v>
      </c>
      <c r="M328" s="159" t="s">
        <v>409</v>
      </c>
      <c r="N328" s="159">
        <v>12868.9</v>
      </c>
      <c r="O328" s="185">
        <f t="shared" si="16"/>
        <v>12868.9</v>
      </c>
      <c r="P328" s="215">
        <f t="shared" si="15"/>
        <v>3991.2353064112858</v>
      </c>
      <c r="Q328" s="215" cm="1">
        <f t="array" ref="Q328">IF(P328="-",0,P328/(1+'General inputs'!$H$32)^IFERROR(INDEX('MP Calculations'!$C$40:$C$130,MATCH(F328,'MP Calculations'!$D$40:$D$130,0),0),-1))</f>
        <v>7099.9517640341201</v>
      </c>
    </row>
    <row r="329" spans="3:17" x14ac:dyDescent="0.25">
      <c r="C329" s="159"/>
      <c r="D329" s="165" t="s">
        <v>596</v>
      </c>
      <c r="E329" s="161">
        <v>39814</v>
      </c>
      <c r="F329" s="172" t="str">
        <f t="shared" si="14"/>
        <v>2008-09</v>
      </c>
      <c r="G329" s="68"/>
      <c r="H329" s="167" t="s">
        <v>279</v>
      </c>
      <c r="I329" s="173">
        <v>89592.114709699614</v>
      </c>
      <c r="J329" s="168">
        <f>IFERROR(MIN('MP Calculations'!$E$30/I329,1),"-")</f>
        <v>0.31014580161562261</v>
      </c>
      <c r="K329" s="12"/>
      <c r="L329" s="159">
        <v>1</v>
      </c>
      <c r="M329" s="159" t="s">
        <v>409</v>
      </c>
      <c r="N329" s="159">
        <v>16005.95</v>
      </c>
      <c r="O329" s="185">
        <f t="shared" si="16"/>
        <v>16005.95</v>
      </c>
      <c r="P329" s="215">
        <f t="shared" si="15"/>
        <v>4964.1781933695747</v>
      </c>
      <c r="Q329" s="215" cm="1">
        <f t="array" ref="Q329">IF(P329="-",0,P329/(1+'General inputs'!$H$32)^IFERROR(INDEX('MP Calculations'!$C$40:$C$130,MATCH(F329,'MP Calculations'!$D$40:$D$130,0),0),-1))</f>
        <v>8830.7060383981479</v>
      </c>
    </row>
    <row r="330" spans="3:17" x14ac:dyDescent="0.25">
      <c r="C330" s="159"/>
      <c r="D330" s="165" t="s">
        <v>284</v>
      </c>
      <c r="E330" s="161">
        <v>39834</v>
      </c>
      <c r="F330" s="172" t="str">
        <f t="shared" si="14"/>
        <v>2008-09</v>
      </c>
      <c r="G330" s="68"/>
      <c r="H330" s="167" t="s">
        <v>279</v>
      </c>
      <c r="I330" s="173">
        <v>89592.114709699614</v>
      </c>
      <c r="J330" s="168">
        <f>IFERROR(MIN('MP Calculations'!$E$30/I330,1),"-")</f>
        <v>0.31014580161562261</v>
      </c>
      <c r="K330" s="12"/>
      <c r="L330" s="159">
        <v>1.6004160000000001</v>
      </c>
      <c r="M330" s="159" t="s">
        <v>408</v>
      </c>
      <c r="N330" s="159">
        <v>405</v>
      </c>
      <c r="O330" s="185">
        <f t="shared" si="16"/>
        <v>648.16848000000005</v>
      </c>
      <c r="P330" s="215">
        <f t="shared" si="15"/>
        <v>201.02673281157968</v>
      </c>
      <c r="Q330" s="215" cm="1">
        <f t="array" ref="Q330">IF(P330="-",0,P330/(1+'General inputs'!$H$32)^IFERROR(INDEX('MP Calculations'!$C$40:$C$130,MATCH(F330,'MP Calculations'!$D$40:$D$130,0),0),-1))</f>
        <v>357.60359805168389</v>
      </c>
    </row>
    <row r="331" spans="3:17" x14ac:dyDescent="0.25">
      <c r="C331" s="159"/>
      <c r="D331" s="165" t="s">
        <v>597</v>
      </c>
      <c r="E331" s="161">
        <v>39845</v>
      </c>
      <c r="F331" s="172" t="str">
        <f t="shared" si="14"/>
        <v>2008-09</v>
      </c>
      <c r="G331" s="68"/>
      <c r="H331" s="167" t="s">
        <v>279</v>
      </c>
      <c r="I331" s="173">
        <v>89592.114709699614</v>
      </c>
      <c r="J331" s="168">
        <f>IFERROR(MIN('MP Calculations'!$E$30/I331,1),"-")</f>
        <v>0.31014580161562261</v>
      </c>
      <c r="K331" s="12"/>
      <c r="L331" s="159">
        <v>1</v>
      </c>
      <c r="M331" s="159" t="s">
        <v>409</v>
      </c>
      <c r="N331" s="159">
        <v>1637.21</v>
      </c>
      <c r="O331" s="185">
        <f t="shared" si="16"/>
        <v>1637.21</v>
      </c>
      <c r="P331" s="215">
        <f t="shared" si="15"/>
        <v>507.77380786311352</v>
      </c>
      <c r="Q331" s="215" cm="1">
        <f t="array" ref="Q331">IF(P331="-",0,P331/(1+'General inputs'!$H$32)^IFERROR(INDEX('MP Calculations'!$C$40:$C$130,MATCH(F331,'MP Calculations'!$D$40:$D$130,0),0),-1))</f>
        <v>903.27161044023205</v>
      </c>
    </row>
    <row r="332" spans="3:17" x14ac:dyDescent="0.25">
      <c r="C332" s="159"/>
      <c r="D332" s="165" t="s">
        <v>598</v>
      </c>
      <c r="E332" s="161">
        <v>39873</v>
      </c>
      <c r="F332" s="172" t="str">
        <f t="shared" si="14"/>
        <v>2008-09</v>
      </c>
      <c r="G332" s="68"/>
      <c r="H332" s="167" t="s">
        <v>279</v>
      </c>
      <c r="I332" s="173">
        <v>89592.114709699614</v>
      </c>
      <c r="J332" s="168">
        <f>IFERROR(MIN('MP Calculations'!$E$30/I332,1),"-")</f>
        <v>0.31014580161562261</v>
      </c>
      <c r="K332" s="12"/>
      <c r="L332" s="159">
        <v>1</v>
      </c>
      <c r="M332" s="159" t="s">
        <v>409</v>
      </c>
      <c r="N332" s="159">
        <v>5397.89</v>
      </c>
      <c r="O332" s="185">
        <f t="shared" si="16"/>
        <v>5397.89</v>
      </c>
      <c r="P332" s="215">
        <f t="shared" si="15"/>
        <v>1674.1329210829533</v>
      </c>
      <c r="Q332" s="215" cm="1">
        <f t="array" ref="Q332">IF(P332="-",0,P332/(1+'General inputs'!$H$32)^IFERROR(INDEX('MP Calculations'!$C$40:$C$130,MATCH(F332,'MP Calculations'!$D$40:$D$130,0),0),-1))</f>
        <v>2978.0912609129095</v>
      </c>
    </row>
    <row r="333" spans="3:17" x14ac:dyDescent="0.25">
      <c r="C333" s="159"/>
      <c r="D333" s="165" t="s">
        <v>283</v>
      </c>
      <c r="E333" s="161">
        <v>39885</v>
      </c>
      <c r="F333" s="172" t="str">
        <f t="shared" si="14"/>
        <v>2008-09</v>
      </c>
      <c r="G333" s="68"/>
      <c r="H333" s="167" t="s">
        <v>279</v>
      </c>
      <c r="I333" s="173">
        <v>89592.114709699614</v>
      </c>
      <c r="J333" s="168">
        <f>IFERROR(MIN('MP Calculations'!$E$30/I333,1),"-")</f>
        <v>0.31014580161562261</v>
      </c>
      <c r="K333" s="12"/>
      <c r="L333" s="159">
        <v>116.5224</v>
      </c>
      <c r="M333" s="159" t="s">
        <v>408</v>
      </c>
      <c r="N333" s="159">
        <v>622</v>
      </c>
      <c r="O333" s="185">
        <f t="shared" si="16"/>
        <v>72476.93280000001</v>
      </c>
      <c r="P333" s="215">
        <f t="shared" si="15"/>
        <v>22478.416421897615</v>
      </c>
      <c r="Q333" s="215" cm="1">
        <f t="array" ref="Q333">IF(P333="-",0,P333/(1+'General inputs'!$H$32)^IFERROR(INDEX('MP Calculations'!$C$40:$C$130,MATCH(F333,'MP Calculations'!$D$40:$D$130,0),0),-1))</f>
        <v>39986.535514701522</v>
      </c>
    </row>
    <row r="334" spans="3:17" x14ac:dyDescent="0.25">
      <c r="C334" s="159"/>
      <c r="D334" s="165" t="s">
        <v>599</v>
      </c>
      <c r="E334" s="161">
        <v>39904</v>
      </c>
      <c r="F334" s="172" t="str">
        <f t="shared" si="14"/>
        <v>2008-09</v>
      </c>
      <c r="G334" s="68"/>
      <c r="H334" s="167" t="s">
        <v>279</v>
      </c>
      <c r="I334" s="173">
        <v>89592.114709699614</v>
      </c>
      <c r="J334" s="168">
        <f>IFERROR(MIN('MP Calculations'!$E$30/I334,1),"-")</f>
        <v>0.31014580161562261</v>
      </c>
      <c r="K334" s="12"/>
      <c r="L334" s="159">
        <v>1</v>
      </c>
      <c r="M334" s="159" t="s">
        <v>409</v>
      </c>
      <c r="N334" s="159">
        <v>9081.11</v>
      </c>
      <c r="O334" s="185">
        <f t="shared" si="16"/>
        <v>9081.11</v>
      </c>
      <c r="P334" s="215">
        <f t="shared" si="15"/>
        <v>2816.4681405096467</v>
      </c>
      <c r="Q334" s="215" cm="1">
        <f t="array" ref="Q334">IF(P334="-",0,P334/(1+'General inputs'!$H$32)^IFERROR(INDEX('MP Calculations'!$C$40:$C$130,MATCH(F334,'MP Calculations'!$D$40:$D$130,0),0),-1))</f>
        <v>5010.1751481391484</v>
      </c>
    </row>
    <row r="335" spans="3:17" x14ac:dyDescent="0.25">
      <c r="C335" s="159"/>
      <c r="D335" s="165" t="s">
        <v>600</v>
      </c>
      <c r="E335" s="161">
        <v>39904</v>
      </c>
      <c r="F335" s="172" t="str">
        <f t="shared" si="14"/>
        <v>2008-09</v>
      </c>
      <c r="G335" s="68"/>
      <c r="H335" s="167" t="s">
        <v>279</v>
      </c>
      <c r="I335" s="173">
        <v>89592.114709699614</v>
      </c>
      <c r="J335" s="168">
        <f>IFERROR(MIN('MP Calculations'!$E$30/I335,1),"-")</f>
        <v>0.31014580161562261</v>
      </c>
      <c r="K335" s="12"/>
      <c r="L335" s="159">
        <v>1</v>
      </c>
      <c r="M335" s="159" t="s">
        <v>409</v>
      </c>
      <c r="N335" s="159">
        <v>446.82</v>
      </c>
      <c r="O335" s="185">
        <f t="shared" si="16"/>
        <v>446.82</v>
      </c>
      <c r="P335" s="215">
        <f t="shared" si="15"/>
        <v>138.57934707789249</v>
      </c>
      <c r="Q335" s="215" cm="1">
        <f t="array" ref="Q335">IF(P335="-",0,P335/(1+'General inputs'!$H$32)^IFERROR(INDEX('MP Calculations'!$C$40:$C$130,MATCH(F335,'MP Calculations'!$D$40:$D$130,0),0),-1))</f>
        <v>246.51683105826646</v>
      </c>
    </row>
    <row r="336" spans="3:17" x14ac:dyDescent="0.25">
      <c r="C336" s="159"/>
      <c r="D336" s="165" t="s">
        <v>601</v>
      </c>
      <c r="E336" s="161">
        <v>39904</v>
      </c>
      <c r="F336" s="172" t="str">
        <f t="shared" si="14"/>
        <v>2008-09</v>
      </c>
      <c r="G336" s="68"/>
      <c r="H336" s="167" t="s">
        <v>279</v>
      </c>
      <c r="I336" s="173">
        <v>89592.114709699614</v>
      </c>
      <c r="J336" s="168">
        <f>IFERROR(MIN('MP Calculations'!$E$30/I336,1),"-")</f>
        <v>0.31014580161562261</v>
      </c>
      <c r="K336" s="12"/>
      <c r="L336" s="159">
        <v>1</v>
      </c>
      <c r="M336" s="159" t="s">
        <v>409</v>
      </c>
      <c r="N336" s="159">
        <v>1555.2</v>
      </c>
      <c r="O336" s="185">
        <f t="shared" si="16"/>
        <v>1555.2</v>
      </c>
      <c r="P336" s="215">
        <f t="shared" si="15"/>
        <v>482.3387506726163</v>
      </c>
      <c r="Q336" s="215" cm="1">
        <f t="array" ref="Q336">IF(P336="-",0,P336/(1+'General inputs'!$H$32)^IFERROR(INDEX('MP Calculations'!$C$40:$C$130,MATCH(F336,'MP Calculations'!$D$40:$D$130,0),0),-1))</f>
        <v>858.02554868138407</v>
      </c>
    </row>
    <row r="337" spans="3:17" x14ac:dyDescent="0.25">
      <c r="C337" s="159"/>
      <c r="D337" s="165" t="s">
        <v>602</v>
      </c>
      <c r="E337" s="161">
        <v>39904</v>
      </c>
      <c r="F337" s="172" t="str">
        <f t="shared" si="14"/>
        <v>2008-09</v>
      </c>
      <c r="G337" s="68"/>
      <c r="H337" s="167" t="s">
        <v>279</v>
      </c>
      <c r="I337" s="173">
        <v>89592.114709699614</v>
      </c>
      <c r="J337" s="168">
        <f>IFERROR(MIN('MP Calculations'!$E$30/I337,1),"-")</f>
        <v>0.31014580161562261</v>
      </c>
      <c r="K337" s="12"/>
      <c r="L337" s="159">
        <v>1</v>
      </c>
      <c r="M337" s="159" t="s">
        <v>409</v>
      </c>
      <c r="N337" s="159">
        <v>3663.4</v>
      </c>
      <c r="O337" s="185">
        <f t="shared" si="16"/>
        <v>3663.4</v>
      </c>
      <c r="P337" s="215">
        <f t="shared" si="15"/>
        <v>1136.1881296386719</v>
      </c>
      <c r="Q337" s="215" cm="1">
        <f t="array" ref="Q337">IF(P337="-",0,P337/(1+'General inputs'!$H$32)^IFERROR(INDEX('MP Calculations'!$C$40:$C$130,MATCH(F337,'MP Calculations'!$D$40:$D$130,0),0),-1))</f>
        <v>2021.1489165633889</v>
      </c>
    </row>
    <row r="338" spans="3:17" x14ac:dyDescent="0.25">
      <c r="C338" s="159"/>
      <c r="D338" s="165" t="s">
        <v>603</v>
      </c>
      <c r="E338" s="161">
        <v>39904</v>
      </c>
      <c r="F338" s="172" t="str">
        <f t="shared" si="14"/>
        <v>2008-09</v>
      </c>
      <c r="G338" s="68"/>
      <c r="H338" s="167" t="s">
        <v>279</v>
      </c>
      <c r="I338" s="173">
        <v>89592.114709699614</v>
      </c>
      <c r="J338" s="168">
        <f>IFERROR(MIN('MP Calculations'!$E$30/I338,1),"-")</f>
        <v>0.31014580161562261</v>
      </c>
      <c r="K338" s="12"/>
      <c r="L338" s="159">
        <v>1</v>
      </c>
      <c r="M338" s="159" t="s">
        <v>409</v>
      </c>
      <c r="N338" s="159">
        <v>1299.98</v>
      </c>
      <c r="O338" s="185">
        <f t="shared" si="16"/>
        <v>1299.98</v>
      </c>
      <c r="P338" s="215">
        <f t="shared" si="15"/>
        <v>403.18333918427709</v>
      </c>
      <c r="Q338" s="215" cm="1">
        <f t="array" ref="Q338">IF(P338="-",0,P338/(1+'General inputs'!$H$32)^IFERROR(INDEX('MP Calculations'!$C$40:$C$130,MATCH(F338,'MP Calculations'!$D$40:$D$130,0),0),-1))</f>
        <v>717.21711212373043</v>
      </c>
    </row>
    <row r="339" spans="3:17" x14ac:dyDescent="0.25">
      <c r="C339" s="159"/>
      <c r="D339" s="165" t="s">
        <v>604</v>
      </c>
      <c r="E339" s="161">
        <v>39904</v>
      </c>
      <c r="F339" s="172" t="str">
        <f t="shared" si="14"/>
        <v>2008-09</v>
      </c>
      <c r="G339" s="68"/>
      <c r="H339" s="167" t="s">
        <v>279</v>
      </c>
      <c r="I339" s="173">
        <v>89592.114709699614</v>
      </c>
      <c r="J339" s="168">
        <f>IFERROR(MIN('MP Calculations'!$E$30/I339,1),"-")</f>
        <v>0.31014580161562261</v>
      </c>
      <c r="K339" s="12"/>
      <c r="L339" s="159">
        <v>1</v>
      </c>
      <c r="M339" s="159" t="s">
        <v>409</v>
      </c>
      <c r="N339" s="159">
        <v>12880.2</v>
      </c>
      <c r="O339" s="185">
        <f t="shared" si="16"/>
        <v>12880.2</v>
      </c>
      <c r="P339" s="215">
        <f t="shared" si="15"/>
        <v>3994.7399539695425</v>
      </c>
      <c r="Q339" s="215" cm="1">
        <f t="array" ref="Q339">IF(P339="-",0,P339/(1+'General inputs'!$H$32)^IFERROR(INDEX('MP Calculations'!$C$40:$C$130,MATCH(F339,'MP Calculations'!$D$40:$D$130,0),0),-1))</f>
        <v>7106.1861317682378</v>
      </c>
    </row>
    <row r="340" spans="3:17" x14ac:dyDescent="0.25">
      <c r="C340" s="159"/>
      <c r="D340" s="165" t="s">
        <v>605</v>
      </c>
      <c r="E340" s="161">
        <v>39904</v>
      </c>
      <c r="F340" s="172" t="str">
        <f t="shared" si="14"/>
        <v>2008-09</v>
      </c>
      <c r="G340" s="68"/>
      <c r="H340" s="167" t="s">
        <v>279</v>
      </c>
      <c r="I340" s="173">
        <v>89592.114709699614</v>
      </c>
      <c r="J340" s="168">
        <f>IFERROR(MIN('MP Calculations'!$E$30/I340,1),"-")</f>
        <v>0.31014580161562261</v>
      </c>
      <c r="K340" s="12"/>
      <c r="L340" s="159">
        <v>1</v>
      </c>
      <c r="M340" s="159" t="s">
        <v>409</v>
      </c>
      <c r="N340" s="159">
        <v>3278.3</v>
      </c>
      <c r="O340" s="185">
        <f t="shared" si="16"/>
        <v>3278.3</v>
      </c>
      <c r="P340" s="215">
        <f t="shared" si="15"/>
        <v>1016.7509814364956</v>
      </c>
      <c r="Q340" s="215" cm="1">
        <f t="array" ref="Q340">IF(P340="-",0,P340/(1+'General inputs'!$H$32)^IFERROR(INDEX('MP Calculations'!$C$40:$C$130,MATCH(F340,'MP Calculations'!$D$40:$D$130,0),0),-1))</f>
        <v>1808.6838710404973</v>
      </c>
    </row>
    <row r="341" spans="3:17" x14ac:dyDescent="0.25">
      <c r="C341" s="159"/>
      <c r="D341" s="165" t="s">
        <v>606</v>
      </c>
      <c r="E341" s="161">
        <v>39904</v>
      </c>
      <c r="F341" s="172" t="str">
        <f t="shared" si="14"/>
        <v>2008-09</v>
      </c>
      <c r="G341" s="68"/>
      <c r="H341" s="167" t="s">
        <v>279</v>
      </c>
      <c r="I341" s="173">
        <v>89592.114709699614</v>
      </c>
      <c r="J341" s="168">
        <f>IFERROR(MIN('MP Calculations'!$E$30/I341,1),"-")</f>
        <v>0.31014580161562261</v>
      </c>
      <c r="K341" s="12"/>
      <c r="L341" s="159">
        <v>1</v>
      </c>
      <c r="M341" s="159" t="s">
        <v>409</v>
      </c>
      <c r="N341" s="159">
        <v>4139.3599999999997</v>
      </c>
      <c r="O341" s="185">
        <f t="shared" si="16"/>
        <v>4139.3599999999997</v>
      </c>
      <c r="P341" s="215">
        <f t="shared" si="15"/>
        <v>1283.8051253756435</v>
      </c>
      <c r="Q341" s="215" cm="1">
        <f t="array" ref="Q341">IF(P341="-",0,P341/(1+'General inputs'!$H$32)^IFERROR(INDEX('MP Calculations'!$C$40:$C$130,MATCH(F341,'MP Calculations'!$D$40:$D$130,0),0),-1))</f>
        <v>2283.7426923802554</v>
      </c>
    </row>
    <row r="342" spans="3:17" x14ac:dyDescent="0.25">
      <c r="C342" s="159"/>
      <c r="D342" s="165" t="s">
        <v>607</v>
      </c>
      <c r="E342" s="161">
        <v>39904</v>
      </c>
      <c r="F342" s="172" t="str">
        <f t="shared" ref="F342:F405" si="17">IF(E342="","-",IF(OR(E342&lt;$E$15,E342&gt;$E$16),"ERROR - date outside of range",IF(MONTH(E342)&gt;=7,YEAR(E342)&amp;"-"&amp;IF(YEAR(E342)=1999,"00",IF(AND(YEAR(E342)&gt;=2000,YEAR(E342)&lt;2009),"0","")&amp;RIGHT(YEAR(E342),2)+1),RIGHT(YEAR(E342),4)-1&amp;"-"&amp;RIGHT(YEAR(E342),2))))</f>
        <v>2008-09</v>
      </c>
      <c r="G342" s="68"/>
      <c r="H342" s="167" t="s">
        <v>279</v>
      </c>
      <c r="I342" s="173">
        <v>89592.114709699614</v>
      </c>
      <c r="J342" s="168">
        <f>IFERROR(MIN('MP Calculations'!$E$30/I342,1),"-")</f>
        <v>0.31014580161562261</v>
      </c>
      <c r="K342" s="12"/>
      <c r="L342" s="159">
        <v>1</v>
      </c>
      <c r="M342" s="159" t="s">
        <v>409</v>
      </c>
      <c r="N342" s="159">
        <v>26812.41</v>
      </c>
      <c r="O342" s="185">
        <f t="shared" si="16"/>
        <v>26812.41</v>
      </c>
      <c r="P342" s="215">
        <f t="shared" si="15"/>
        <v>8315.7563926967359</v>
      </c>
      <c r="Q342" s="215" cm="1">
        <f t="array" ref="Q342">IF(P342="-",0,P342/(1+'General inputs'!$H$32)^IFERROR(INDEX('MP Calculations'!$C$40:$C$130,MATCH(F342,'MP Calculations'!$D$40:$D$130,0),0),-1))</f>
        <v>14792.780865303645</v>
      </c>
    </row>
    <row r="343" spans="3:17" x14ac:dyDescent="0.25">
      <c r="C343" s="159"/>
      <c r="D343" s="165" t="s">
        <v>608</v>
      </c>
      <c r="E343" s="161">
        <v>39904</v>
      </c>
      <c r="F343" s="172" t="str">
        <f t="shared" si="17"/>
        <v>2008-09</v>
      </c>
      <c r="G343" s="68"/>
      <c r="H343" s="167" t="s">
        <v>279</v>
      </c>
      <c r="I343" s="173">
        <v>89592.114709699614</v>
      </c>
      <c r="J343" s="168">
        <f>IFERROR(MIN('MP Calculations'!$E$30/I343,1),"-")</f>
        <v>0.31014580161562261</v>
      </c>
      <c r="K343" s="12"/>
      <c r="L343" s="159">
        <v>1</v>
      </c>
      <c r="M343" s="159" t="s">
        <v>409</v>
      </c>
      <c r="N343" s="159">
        <v>1795.6</v>
      </c>
      <c r="O343" s="185">
        <f t="shared" si="16"/>
        <v>1795.6</v>
      </c>
      <c r="P343" s="215">
        <f t="shared" ref="P343:P406" si="18">IF(O343="-","-",IF(OR(E343&lt;$E$15,E343&gt;$E$16),0,O343*J343))</f>
        <v>556.89780138101196</v>
      </c>
      <c r="Q343" s="215" cm="1">
        <f t="array" ref="Q343">IF(P343="-",0,P343/(1+'General inputs'!$H$32)^IFERROR(INDEX('MP Calculations'!$C$40:$C$130,MATCH(F343,'MP Calculations'!$D$40:$D$130,0),0),-1))</f>
        <v>990.65758437004445</v>
      </c>
    </row>
    <row r="344" spans="3:17" x14ac:dyDescent="0.25">
      <c r="C344" s="159"/>
      <c r="D344" s="165" t="s">
        <v>609</v>
      </c>
      <c r="E344" s="161">
        <v>39904</v>
      </c>
      <c r="F344" s="172" t="str">
        <f t="shared" si="17"/>
        <v>2008-09</v>
      </c>
      <c r="G344" s="68"/>
      <c r="H344" s="167" t="s">
        <v>279</v>
      </c>
      <c r="I344" s="173">
        <v>89592.114709699614</v>
      </c>
      <c r="J344" s="168">
        <f>IFERROR(MIN('MP Calculations'!$E$30/I344,1),"-")</f>
        <v>0.31014580161562261</v>
      </c>
      <c r="K344" s="12"/>
      <c r="L344" s="159">
        <v>1</v>
      </c>
      <c r="M344" s="159" t="s">
        <v>409</v>
      </c>
      <c r="N344" s="159">
        <v>9164.2999999999993</v>
      </c>
      <c r="O344" s="185">
        <f t="shared" si="16"/>
        <v>9164.2999999999993</v>
      </c>
      <c r="P344" s="215">
        <f t="shared" si="18"/>
        <v>2842.26916974605</v>
      </c>
      <c r="Q344" s="215" cm="1">
        <f t="array" ref="Q344">IF(P344="-",0,P344/(1+'General inputs'!$H$32)^IFERROR(INDEX('MP Calculations'!$C$40:$C$130,MATCH(F344,'MP Calculations'!$D$40:$D$130,0),0),-1))</f>
        <v>5056.0722323693462</v>
      </c>
    </row>
    <row r="345" spans="3:17" x14ac:dyDescent="0.25">
      <c r="C345" s="159"/>
      <c r="D345" s="165" t="s">
        <v>610</v>
      </c>
      <c r="E345" s="161">
        <v>39965</v>
      </c>
      <c r="F345" s="172" t="str">
        <f t="shared" si="17"/>
        <v>2008-09</v>
      </c>
      <c r="G345" s="68"/>
      <c r="H345" s="167" t="s">
        <v>279</v>
      </c>
      <c r="I345" s="173">
        <v>89592.114709699614</v>
      </c>
      <c r="J345" s="168">
        <f>IFERROR(MIN('MP Calculations'!$E$30/I345,1),"-")</f>
        <v>0.31014580161562261</v>
      </c>
      <c r="K345" s="12"/>
      <c r="L345" s="159">
        <v>1</v>
      </c>
      <c r="M345" s="159" t="s">
        <v>409</v>
      </c>
      <c r="N345" s="159">
        <v>9107.5300000000007</v>
      </c>
      <c r="O345" s="185">
        <f t="shared" si="16"/>
        <v>9107.5300000000007</v>
      </c>
      <c r="P345" s="215">
        <f t="shared" si="18"/>
        <v>2824.6621925883314</v>
      </c>
      <c r="Q345" s="215" cm="1">
        <f t="array" ref="Q345">IF(P345="-",0,P345/(1+'General inputs'!$H$32)^IFERROR(INDEX('MP Calculations'!$C$40:$C$130,MATCH(F345,'MP Calculations'!$D$40:$D$130,0),0),-1))</f>
        <v>5024.7514309298904</v>
      </c>
    </row>
    <row r="346" spans="3:17" x14ac:dyDescent="0.25">
      <c r="C346" s="159"/>
      <c r="D346" s="165" t="s">
        <v>611</v>
      </c>
      <c r="E346" s="161">
        <v>39965</v>
      </c>
      <c r="F346" s="172" t="str">
        <f t="shared" si="17"/>
        <v>2008-09</v>
      </c>
      <c r="G346" s="68"/>
      <c r="H346" s="167" t="s">
        <v>279</v>
      </c>
      <c r="I346" s="173">
        <v>89592.114709699614</v>
      </c>
      <c r="J346" s="168">
        <f>IFERROR(MIN('MP Calculations'!$E$30/I346,1),"-")</f>
        <v>0.31014580161562261</v>
      </c>
      <c r="K346" s="12"/>
      <c r="L346" s="159">
        <v>1</v>
      </c>
      <c r="M346" s="159" t="s">
        <v>409</v>
      </c>
      <c r="N346" s="159">
        <v>4353.2299999999996</v>
      </c>
      <c r="O346" s="185">
        <f t="shared" si="16"/>
        <v>4353.2299999999996</v>
      </c>
      <c r="P346" s="215">
        <f t="shared" si="18"/>
        <v>1350.1360079671767</v>
      </c>
      <c r="Q346" s="215" cm="1">
        <f t="array" ref="Q346">IF(P346="-",0,P346/(1+'General inputs'!$H$32)^IFERROR(INDEX('MP Calculations'!$C$40:$C$130,MATCH(F346,'MP Calculations'!$D$40:$D$130,0),0),-1))</f>
        <v>2401.7377567427093</v>
      </c>
    </row>
    <row r="347" spans="3:17" x14ac:dyDescent="0.25">
      <c r="C347" s="159"/>
      <c r="D347" s="165" t="s">
        <v>612</v>
      </c>
      <c r="E347" s="161">
        <v>39965</v>
      </c>
      <c r="F347" s="172" t="str">
        <f t="shared" si="17"/>
        <v>2008-09</v>
      </c>
      <c r="G347" s="68"/>
      <c r="H347" s="167" t="s">
        <v>279</v>
      </c>
      <c r="I347" s="173">
        <v>89592.114709699614</v>
      </c>
      <c r="J347" s="168">
        <f>IFERROR(MIN('MP Calculations'!$E$30/I347,1),"-")</f>
        <v>0.31014580161562261</v>
      </c>
      <c r="K347" s="12"/>
      <c r="L347" s="159">
        <v>1</v>
      </c>
      <c r="M347" s="159" t="s">
        <v>409</v>
      </c>
      <c r="N347" s="159">
        <v>66576.850000000006</v>
      </c>
      <c r="O347" s="185">
        <f t="shared" si="16"/>
        <v>66576.850000000006</v>
      </c>
      <c r="P347" s="215">
        <f t="shared" si="18"/>
        <v>20648.530512293066</v>
      </c>
      <c r="Q347" s="215" cm="1">
        <f t="array" ref="Q347">IF(P347="-",0,P347/(1+'General inputs'!$H$32)^IFERROR(INDEX('MP Calculations'!$C$40:$C$130,MATCH(F347,'MP Calculations'!$D$40:$D$130,0),0),-1))</f>
        <v>36731.377476034082</v>
      </c>
    </row>
    <row r="348" spans="3:17" x14ac:dyDescent="0.25">
      <c r="C348" s="159"/>
      <c r="D348" s="165" t="s">
        <v>613</v>
      </c>
      <c r="E348" s="161">
        <v>39965</v>
      </c>
      <c r="F348" s="172" t="str">
        <f t="shared" si="17"/>
        <v>2008-09</v>
      </c>
      <c r="G348" s="68"/>
      <c r="H348" s="167" t="s">
        <v>279</v>
      </c>
      <c r="I348" s="173">
        <v>89592.114709699614</v>
      </c>
      <c r="J348" s="168">
        <f>IFERROR(MIN('MP Calculations'!$E$30/I348,1),"-")</f>
        <v>0.31014580161562261</v>
      </c>
      <c r="K348" s="12"/>
      <c r="L348" s="159">
        <v>1</v>
      </c>
      <c r="M348" s="159" t="s">
        <v>409</v>
      </c>
      <c r="N348" s="159">
        <v>14701.4</v>
      </c>
      <c r="O348" s="185">
        <f t="shared" si="16"/>
        <v>14701.4</v>
      </c>
      <c r="P348" s="215">
        <f t="shared" si="18"/>
        <v>4559.5774878719139</v>
      </c>
      <c r="Q348" s="215" cm="1">
        <f t="array" ref="Q348">IF(P348="-",0,P348/(1+'General inputs'!$H$32)^IFERROR(INDEX('MP Calculations'!$C$40:$C$130,MATCH(F348,'MP Calculations'!$D$40:$D$130,0),0),-1))</f>
        <v>8110.967593482831</v>
      </c>
    </row>
    <row r="349" spans="3:17" x14ac:dyDescent="0.25">
      <c r="C349" s="159"/>
      <c r="D349" s="165" t="s">
        <v>318</v>
      </c>
      <c r="E349" s="161">
        <v>39994</v>
      </c>
      <c r="F349" s="172" t="str">
        <f t="shared" si="17"/>
        <v>2008-09</v>
      </c>
      <c r="G349" s="68"/>
      <c r="H349" s="167" t="s">
        <v>279</v>
      </c>
      <c r="I349" s="173">
        <v>89592.114709699614</v>
      </c>
      <c r="J349" s="168">
        <f>IFERROR(MIN('MP Calculations'!$E$30/I349,1),"-")</f>
        <v>0.31014580161562261</v>
      </c>
      <c r="K349" s="12"/>
      <c r="L349" s="159">
        <v>491.256823</v>
      </c>
      <c r="M349" s="159" t="s">
        <v>408</v>
      </c>
      <c r="N349" s="159">
        <v>1908</v>
      </c>
      <c r="O349" s="185">
        <f t="shared" si="16"/>
        <v>937318.01828399999</v>
      </c>
      <c r="P349" s="215">
        <f t="shared" si="18"/>
        <v>290705.24814945797</v>
      </c>
      <c r="Q349" s="215" cm="1">
        <f t="array" ref="Q349">IF(P349="-",0,P349/(1+'General inputs'!$H$32)^IFERROR(INDEX('MP Calculations'!$C$40:$C$130,MATCH(F349,'MP Calculations'!$D$40:$D$130,0),0),-1))</f>
        <v>517131.43449529103</v>
      </c>
    </row>
    <row r="350" spans="3:17" x14ac:dyDescent="0.25">
      <c r="C350" s="159"/>
      <c r="D350" s="165" t="s">
        <v>614</v>
      </c>
      <c r="E350" s="161">
        <v>39995</v>
      </c>
      <c r="F350" s="172" t="str">
        <f t="shared" si="17"/>
        <v>2009-10</v>
      </c>
      <c r="G350" s="68"/>
      <c r="H350" s="167" t="s">
        <v>279</v>
      </c>
      <c r="I350" s="173">
        <v>89592.114709699614</v>
      </c>
      <c r="J350" s="168">
        <f>IFERROR(MIN('MP Calculations'!$E$30/I350,1),"-")</f>
        <v>0.31014580161562261</v>
      </c>
      <c r="K350" s="12"/>
      <c r="L350" s="159">
        <v>1</v>
      </c>
      <c r="M350" s="159" t="s">
        <v>409</v>
      </c>
      <c r="N350" s="159">
        <v>31492.6</v>
      </c>
      <c r="O350" s="185">
        <f t="shared" si="16"/>
        <v>31492.6</v>
      </c>
      <c r="P350" s="215">
        <f t="shared" si="18"/>
        <v>9767.2976719601556</v>
      </c>
      <c r="Q350" s="215" cm="1">
        <f t="array" ref="Q350">IF(P350="-",0,P350/(1+'General inputs'!$H$32)^IFERROR(INDEX('MP Calculations'!$C$40:$C$130,MATCH(F350,'MP Calculations'!$D$40:$D$130,0),0),-1))</f>
        <v>16674.574873326554</v>
      </c>
    </row>
    <row r="351" spans="3:17" x14ac:dyDescent="0.25">
      <c r="C351" s="159"/>
      <c r="D351" s="165" t="s">
        <v>449</v>
      </c>
      <c r="E351" s="161">
        <v>39995</v>
      </c>
      <c r="F351" s="172" t="str">
        <f t="shared" si="17"/>
        <v>2009-10</v>
      </c>
      <c r="G351" s="68"/>
      <c r="H351" s="167" t="s">
        <v>279</v>
      </c>
      <c r="I351" s="173">
        <v>89592.114709699614</v>
      </c>
      <c r="J351" s="168">
        <f>IFERROR(MIN('MP Calculations'!$E$30/I351,1),"-")</f>
        <v>0.31014580161562261</v>
      </c>
      <c r="K351" s="12"/>
      <c r="L351" s="159">
        <v>1</v>
      </c>
      <c r="M351" s="159" t="s">
        <v>409</v>
      </c>
      <c r="N351" s="159">
        <v>2859.7</v>
      </c>
      <c r="O351" s="185">
        <f t="shared" si="16"/>
        <v>2859.7</v>
      </c>
      <c r="P351" s="215">
        <f t="shared" si="18"/>
        <v>886.92394888019589</v>
      </c>
      <c r="Q351" s="215" cm="1">
        <f t="array" ref="Q351">IF(P351="-",0,P351/(1+'General inputs'!$H$32)^IFERROR(INDEX('MP Calculations'!$C$40:$C$130,MATCH(F351,'MP Calculations'!$D$40:$D$130,0),0),-1))</f>
        <v>1514.1424260064889</v>
      </c>
    </row>
    <row r="352" spans="3:17" x14ac:dyDescent="0.25">
      <c r="C352" s="159"/>
      <c r="D352" s="165" t="s">
        <v>615</v>
      </c>
      <c r="E352" s="161">
        <v>39995</v>
      </c>
      <c r="F352" s="172" t="str">
        <f t="shared" si="17"/>
        <v>2009-10</v>
      </c>
      <c r="G352" s="68"/>
      <c r="H352" s="167" t="s">
        <v>279</v>
      </c>
      <c r="I352" s="173">
        <v>89592.114709699614</v>
      </c>
      <c r="J352" s="168">
        <f>IFERROR(MIN('MP Calculations'!$E$30/I352,1),"-")</f>
        <v>0.31014580161562261</v>
      </c>
      <c r="K352" s="12"/>
      <c r="L352" s="159">
        <v>1</v>
      </c>
      <c r="M352" s="159" t="s">
        <v>409</v>
      </c>
      <c r="N352" s="159">
        <v>2157.37</v>
      </c>
      <c r="O352" s="185">
        <f t="shared" si="16"/>
        <v>2157.37</v>
      </c>
      <c r="P352" s="215">
        <f t="shared" si="18"/>
        <v>669.09924803149568</v>
      </c>
      <c r="Q352" s="215" cm="1">
        <f t="array" ref="Q352">IF(P352="-",0,P352/(1+'General inputs'!$H$32)^IFERROR(INDEX('MP Calculations'!$C$40:$C$130,MATCH(F352,'MP Calculations'!$D$40:$D$130,0),0),-1))</f>
        <v>1142.2755693232223</v>
      </c>
    </row>
    <row r="353" spans="3:17" x14ac:dyDescent="0.25">
      <c r="C353" s="159"/>
      <c r="D353" s="165" t="s">
        <v>616</v>
      </c>
      <c r="E353" s="161">
        <v>39995</v>
      </c>
      <c r="F353" s="172" t="str">
        <f t="shared" si="17"/>
        <v>2009-10</v>
      </c>
      <c r="G353" s="68"/>
      <c r="H353" s="167" t="s">
        <v>279</v>
      </c>
      <c r="I353" s="173">
        <v>89592.114709699614</v>
      </c>
      <c r="J353" s="168">
        <f>IFERROR(MIN('MP Calculations'!$E$30/I353,1),"-")</f>
        <v>0.31014580161562261</v>
      </c>
      <c r="K353" s="12"/>
      <c r="L353" s="159">
        <v>1</v>
      </c>
      <c r="M353" s="159" t="s">
        <v>409</v>
      </c>
      <c r="N353" s="159">
        <v>495.77</v>
      </c>
      <c r="O353" s="185">
        <f t="shared" si="16"/>
        <v>495.77</v>
      </c>
      <c r="P353" s="215">
        <f t="shared" si="18"/>
        <v>153.76098406697722</v>
      </c>
      <c r="Q353" s="215" cm="1">
        <f t="array" ref="Q353">IF(P353="-",0,P353/(1+'General inputs'!$H$32)^IFERROR(INDEX('MP Calculations'!$C$40:$C$130,MATCH(F353,'MP Calculations'!$D$40:$D$130,0),0),-1))</f>
        <v>262.49830071029726</v>
      </c>
    </row>
    <row r="354" spans="3:17" x14ac:dyDescent="0.25">
      <c r="C354" s="159"/>
      <c r="D354" s="165" t="s">
        <v>617</v>
      </c>
      <c r="E354" s="161">
        <v>39995</v>
      </c>
      <c r="F354" s="172" t="str">
        <f t="shared" si="17"/>
        <v>2009-10</v>
      </c>
      <c r="G354" s="68"/>
      <c r="H354" s="167" t="s">
        <v>279</v>
      </c>
      <c r="I354" s="173">
        <v>89592.114709699614</v>
      </c>
      <c r="J354" s="168">
        <f>IFERROR(MIN('MP Calculations'!$E$30/I354,1),"-")</f>
        <v>0.31014580161562261</v>
      </c>
      <c r="K354" s="12"/>
      <c r="L354" s="159">
        <v>1</v>
      </c>
      <c r="M354" s="159" t="s">
        <v>409</v>
      </c>
      <c r="N354" s="159">
        <v>2819.66</v>
      </c>
      <c r="O354" s="185">
        <f t="shared" si="16"/>
        <v>2819.66</v>
      </c>
      <c r="P354" s="215">
        <f t="shared" si="18"/>
        <v>874.50571098350645</v>
      </c>
      <c r="Q354" s="215" cm="1">
        <f t="array" ref="Q354">IF(P354="-",0,P354/(1+'General inputs'!$H$32)^IFERROR(INDEX('MP Calculations'!$C$40:$C$130,MATCH(F354,'MP Calculations'!$D$40:$D$130,0),0),-1))</f>
        <v>1492.9422082433321</v>
      </c>
    </row>
    <row r="355" spans="3:17" x14ac:dyDescent="0.25">
      <c r="C355" s="159"/>
      <c r="D355" s="165" t="s">
        <v>618</v>
      </c>
      <c r="E355" s="161">
        <v>39995</v>
      </c>
      <c r="F355" s="172" t="str">
        <f t="shared" si="17"/>
        <v>2009-10</v>
      </c>
      <c r="G355" s="68"/>
      <c r="H355" s="167" t="s">
        <v>279</v>
      </c>
      <c r="I355" s="173">
        <v>89592.114709699614</v>
      </c>
      <c r="J355" s="168">
        <f>IFERROR(MIN('MP Calculations'!$E$30/I355,1),"-")</f>
        <v>0.31014580161562261</v>
      </c>
      <c r="K355" s="12"/>
      <c r="L355" s="159">
        <v>1</v>
      </c>
      <c r="M355" s="159" t="s">
        <v>409</v>
      </c>
      <c r="N355" s="159">
        <v>4835.9399999999996</v>
      </c>
      <c r="O355" s="185">
        <f t="shared" si="16"/>
        <v>4835.9399999999996</v>
      </c>
      <c r="P355" s="215">
        <f t="shared" si="18"/>
        <v>1499.8464878650539</v>
      </c>
      <c r="Q355" s="215" cm="1">
        <f t="array" ref="Q355">IF(P355="-",0,P355/(1+'General inputs'!$H$32)^IFERROR(INDEX('MP Calculations'!$C$40:$C$130,MATCH(F355,'MP Calculations'!$D$40:$D$130,0),0),-1))</f>
        <v>2560.5140132257998</v>
      </c>
    </row>
    <row r="356" spans="3:17" x14ac:dyDescent="0.25">
      <c r="C356" s="159"/>
      <c r="D356" s="165" t="s">
        <v>619</v>
      </c>
      <c r="E356" s="161">
        <v>39995</v>
      </c>
      <c r="F356" s="172" t="str">
        <f t="shared" si="17"/>
        <v>2009-10</v>
      </c>
      <c r="G356" s="68"/>
      <c r="H356" s="167" t="s">
        <v>279</v>
      </c>
      <c r="I356" s="173">
        <v>89592.114709699614</v>
      </c>
      <c r="J356" s="168">
        <f>IFERROR(MIN('MP Calculations'!$E$30/I356,1),"-")</f>
        <v>0.31014580161562261</v>
      </c>
      <c r="K356" s="12"/>
      <c r="L356" s="159">
        <v>1</v>
      </c>
      <c r="M356" s="159" t="s">
        <v>409</v>
      </c>
      <c r="N356" s="159">
        <v>4895.96</v>
      </c>
      <c r="O356" s="185">
        <f t="shared" si="16"/>
        <v>4895.96</v>
      </c>
      <c r="P356" s="215">
        <f t="shared" si="18"/>
        <v>1518.4614388780237</v>
      </c>
      <c r="Q356" s="215" cm="1">
        <f t="array" ref="Q356">IF(P356="-",0,P356/(1+'General inputs'!$H$32)^IFERROR(INDEX('MP Calculations'!$C$40:$C$130,MATCH(F356,'MP Calculations'!$D$40:$D$130,0),0),-1))</f>
        <v>2592.2931608318108</v>
      </c>
    </row>
    <row r="357" spans="3:17" x14ac:dyDescent="0.25">
      <c r="C357" s="159"/>
      <c r="D357" s="165" t="s">
        <v>620</v>
      </c>
      <c r="E357" s="161">
        <v>39995</v>
      </c>
      <c r="F357" s="172" t="str">
        <f t="shared" si="17"/>
        <v>2009-10</v>
      </c>
      <c r="G357" s="68"/>
      <c r="H357" s="167" t="s">
        <v>279</v>
      </c>
      <c r="I357" s="173">
        <v>89592.114709699614</v>
      </c>
      <c r="J357" s="168">
        <f>IFERROR(MIN('MP Calculations'!$E$30/I357,1),"-")</f>
        <v>0.31014580161562261</v>
      </c>
      <c r="K357" s="12"/>
      <c r="L357" s="159">
        <v>1</v>
      </c>
      <c r="M357" s="159" t="s">
        <v>409</v>
      </c>
      <c r="N357" s="159">
        <v>118054.89</v>
      </c>
      <c r="O357" s="185">
        <f t="shared" si="16"/>
        <v>118054.89</v>
      </c>
      <c r="P357" s="215">
        <f t="shared" si="18"/>
        <v>36614.228493694151</v>
      </c>
      <c r="Q357" s="215" cm="1">
        <f t="array" ref="Q357">IF(P357="-",0,P357/(1+'General inputs'!$H$32)^IFERROR(INDEX('MP Calculations'!$C$40:$C$130,MATCH(F357,'MP Calculations'!$D$40:$D$130,0),0),-1))</f>
        <v>62507.227172965417</v>
      </c>
    </row>
    <row r="358" spans="3:17" x14ac:dyDescent="0.25">
      <c r="C358" s="159"/>
      <c r="D358" s="165" t="s">
        <v>621</v>
      </c>
      <c r="E358" s="161">
        <v>39995</v>
      </c>
      <c r="F358" s="172" t="str">
        <f t="shared" si="17"/>
        <v>2009-10</v>
      </c>
      <c r="G358" s="68"/>
      <c r="H358" s="167" t="s">
        <v>279</v>
      </c>
      <c r="I358" s="173">
        <v>89592.114709699614</v>
      </c>
      <c r="J358" s="168">
        <f>IFERROR(MIN('MP Calculations'!$E$30/I358,1),"-")</f>
        <v>0.31014580161562261</v>
      </c>
      <c r="K358" s="12"/>
      <c r="L358" s="159">
        <v>1</v>
      </c>
      <c r="M358" s="159" t="s">
        <v>409</v>
      </c>
      <c r="N358" s="159">
        <v>50582.48</v>
      </c>
      <c r="O358" s="185">
        <f t="shared" si="16"/>
        <v>50582.48</v>
      </c>
      <c r="P358" s="215">
        <f t="shared" si="18"/>
        <v>15687.943807306199</v>
      </c>
      <c r="Q358" s="215" cm="1">
        <f t="array" ref="Q358">IF(P358="-",0,P358/(1+'General inputs'!$H$32)^IFERROR(INDEX('MP Calculations'!$C$40:$C$130,MATCH(F358,'MP Calculations'!$D$40:$D$130,0),0),-1))</f>
        <v>26782.207567445785</v>
      </c>
    </row>
    <row r="359" spans="3:17" x14ac:dyDescent="0.25">
      <c r="C359" s="159"/>
      <c r="D359" s="165" t="s">
        <v>353</v>
      </c>
      <c r="E359" s="161">
        <v>40027</v>
      </c>
      <c r="F359" s="172" t="str">
        <f t="shared" si="17"/>
        <v>2009-10</v>
      </c>
      <c r="G359" s="68"/>
      <c r="H359" s="167" t="s">
        <v>279</v>
      </c>
      <c r="I359" s="173">
        <v>89592.114709699614</v>
      </c>
      <c r="J359" s="168">
        <f>IFERROR(MIN('MP Calculations'!$E$30/I359,1),"-")</f>
        <v>0.31014580161562261</v>
      </c>
      <c r="K359" s="12"/>
      <c r="L359" s="159">
        <v>3.9985149999999998</v>
      </c>
      <c r="M359" s="159" t="s">
        <v>408</v>
      </c>
      <c r="N359" s="159">
        <v>940</v>
      </c>
      <c r="O359" s="185">
        <f t="shared" si="16"/>
        <v>3758.6041</v>
      </c>
      <c r="P359" s="215">
        <f t="shared" si="18"/>
        <v>1165.7152815502657</v>
      </c>
      <c r="Q359" s="215" cm="1">
        <f t="array" ref="Q359">IF(P359="-",0,P359/(1+'General inputs'!$H$32)^IFERROR(INDEX('MP Calculations'!$C$40:$C$130,MATCH(F359,'MP Calculations'!$D$40:$D$130,0),0),-1))</f>
        <v>1990.0905445927669</v>
      </c>
    </row>
    <row r="360" spans="3:17" x14ac:dyDescent="0.25">
      <c r="C360" s="159"/>
      <c r="D360" s="165" t="s">
        <v>622</v>
      </c>
      <c r="E360" s="161">
        <v>40042</v>
      </c>
      <c r="F360" s="172" t="str">
        <f t="shared" si="17"/>
        <v>2009-10</v>
      </c>
      <c r="G360" s="68"/>
      <c r="H360" s="167" t="s">
        <v>279</v>
      </c>
      <c r="I360" s="173">
        <v>89592.114709699614</v>
      </c>
      <c r="J360" s="168">
        <f>IFERROR(MIN('MP Calculations'!$E$30/I360,1),"-")</f>
        <v>0.31014580161562261</v>
      </c>
      <c r="K360" s="12"/>
      <c r="L360" s="159">
        <v>1</v>
      </c>
      <c r="M360" s="159" t="s">
        <v>409</v>
      </c>
      <c r="N360" s="159">
        <v>353241.37</v>
      </c>
      <c r="O360" s="185">
        <f t="shared" si="16"/>
        <v>353241.37</v>
      </c>
      <c r="P360" s="215">
        <f t="shared" si="18"/>
        <v>109556.32786245074</v>
      </c>
      <c r="Q360" s="215" cm="1">
        <f t="array" ref="Q360">IF(P360="-",0,P360/(1+'General inputs'!$H$32)^IFERROR(INDEX('MP Calculations'!$C$40:$C$130,MATCH(F360,'MP Calculations'!$D$40:$D$130,0),0),-1))</f>
        <v>187032.8163575395</v>
      </c>
    </row>
    <row r="361" spans="3:17" x14ac:dyDescent="0.25">
      <c r="C361" s="159"/>
      <c r="D361" s="165" t="s">
        <v>623</v>
      </c>
      <c r="E361" s="161">
        <v>40057</v>
      </c>
      <c r="F361" s="172" t="str">
        <f t="shared" si="17"/>
        <v>2009-10</v>
      </c>
      <c r="G361" s="68"/>
      <c r="H361" s="167" t="s">
        <v>279</v>
      </c>
      <c r="I361" s="173">
        <v>89592.114709699614</v>
      </c>
      <c r="J361" s="168">
        <f>IFERROR(MIN('MP Calculations'!$E$30/I361,1),"-")</f>
        <v>0.31014580161562261</v>
      </c>
      <c r="K361" s="12"/>
      <c r="L361" s="159">
        <v>1</v>
      </c>
      <c r="M361" s="159" t="s">
        <v>409</v>
      </c>
      <c r="N361" s="159">
        <v>1599.61</v>
      </c>
      <c r="O361" s="185">
        <f t="shared" si="16"/>
        <v>1599.61</v>
      </c>
      <c r="P361" s="215">
        <f t="shared" si="18"/>
        <v>496.11232572236605</v>
      </c>
      <c r="Q361" s="215" cm="1">
        <f t="array" ref="Q361">IF(P361="-",0,P361/(1+'General inputs'!$H$32)^IFERROR(INDEX('MP Calculations'!$C$40:$C$130,MATCH(F361,'MP Calculations'!$D$40:$D$130,0),0),-1))</f>
        <v>846.95505334973586</v>
      </c>
    </row>
    <row r="362" spans="3:17" x14ac:dyDescent="0.25">
      <c r="C362" s="159"/>
      <c r="D362" s="165" t="s">
        <v>624</v>
      </c>
      <c r="E362" s="161">
        <v>40087</v>
      </c>
      <c r="F362" s="172" t="str">
        <f t="shared" si="17"/>
        <v>2009-10</v>
      </c>
      <c r="G362" s="68"/>
      <c r="H362" s="167" t="s">
        <v>279</v>
      </c>
      <c r="I362" s="173">
        <v>89592.114709699614</v>
      </c>
      <c r="J362" s="168">
        <f>IFERROR(MIN('MP Calculations'!$E$30/I362,1),"-")</f>
        <v>0.31014580161562261</v>
      </c>
      <c r="K362" s="12"/>
      <c r="L362" s="159">
        <v>1</v>
      </c>
      <c r="M362" s="159" t="s">
        <v>409</v>
      </c>
      <c r="N362" s="159">
        <v>2015.91</v>
      </c>
      <c r="O362" s="185">
        <f t="shared" si="16"/>
        <v>2015.91</v>
      </c>
      <c r="P362" s="215">
        <f t="shared" si="18"/>
        <v>625.22602293494981</v>
      </c>
      <c r="Q362" s="215" cm="1">
        <f t="array" ref="Q362">IF(P362="-",0,P362/(1+'General inputs'!$H$32)^IFERROR(INDEX('MP Calculations'!$C$40:$C$130,MATCH(F362,'MP Calculations'!$D$40:$D$130,0),0),-1))</f>
        <v>1067.375898874267</v>
      </c>
    </row>
    <row r="363" spans="3:17" x14ac:dyDescent="0.25">
      <c r="C363" s="159"/>
      <c r="D363" s="165" t="s">
        <v>625</v>
      </c>
      <c r="E363" s="161">
        <v>40087</v>
      </c>
      <c r="F363" s="172" t="str">
        <f t="shared" si="17"/>
        <v>2009-10</v>
      </c>
      <c r="G363" s="68"/>
      <c r="H363" s="167" t="s">
        <v>279</v>
      </c>
      <c r="I363" s="173">
        <v>89592.114709699614</v>
      </c>
      <c r="J363" s="168">
        <f>IFERROR(MIN('MP Calculations'!$E$30/I363,1),"-")</f>
        <v>0.31014580161562261</v>
      </c>
      <c r="K363" s="12"/>
      <c r="L363" s="159">
        <v>1</v>
      </c>
      <c r="M363" s="159" t="s">
        <v>409</v>
      </c>
      <c r="N363" s="159">
        <v>772.97</v>
      </c>
      <c r="O363" s="185">
        <f t="shared" si="16"/>
        <v>772.97</v>
      </c>
      <c r="P363" s="215">
        <f t="shared" si="18"/>
        <v>239.7334002748278</v>
      </c>
      <c r="Q363" s="215" cm="1">
        <f t="array" ref="Q363">IF(P363="-",0,P363/(1+'General inputs'!$H$32)^IFERROR(INDEX('MP Calculations'!$C$40:$C$130,MATCH(F363,'MP Calculations'!$D$40:$D$130,0),0),-1))</f>
        <v>409.26903907061433</v>
      </c>
    </row>
    <row r="364" spans="3:17" x14ac:dyDescent="0.25">
      <c r="C364" s="159"/>
      <c r="D364" s="165" t="s">
        <v>281</v>
      </c>
      <c r="E364" s="161">
        <v>40102</v>
      </c>
      <c r="F364" s="172" t="str">
        <f t="shared" si="17"/>
        <v>2009-10</v>
      </c>
      <c r="G364" s="68"/>
      <c r="H364" s="167" t="s">
        <v>279</v>
      </c>
      <c r="I364" s="173">
        <v>89592.114709699614</v>
      </c>
      <c r="J364" s="168">
        <f>IFERROR(MIN('MP Calculations'!$E$30/I364,1),"-")</f>
        <v>0.31014580161562261</v>
      </c>
      <c r="K364" s="12"/>
      <c r="L364" s="159">
        <v>26.969815000000001</v>
      </c>
      <c r="M364" s="159" t="s">
        <v>408</v>
      </c>
      <c r="N364" s="159">
        <v>809</v>
      </c>
      <c r="O364" s="185">
        <f t="shared" si="16"/>
        <v>21818.580334999999</v>
      </c>
      <c r="P364" s="215">
        <f t="shared" si="18"/>
        <v>6766.9410881134345</v>
      </c>
      <c r="Q364" s="215" cm="1">
        <f t="array" ref="Q364">IF(P364="-",0,P364/(1+'General inputs'!$H$32)^IFERROR(INDEX('MP Calculations'!$C$40:$C$130,MATCH(F364,'MP Calculations'!$D$40:$D$130,0),0),-1))</f>
        <v>11552.413945677648</v>
      </c>
    </row>
    <row r="365" spans="3:17" x14ac:dyDescent="0.25">
      <c r="C365" s="159"/>
      <c r="D365" s="165" t="s">
        <v>281</v>
      </c>
      <c r="E365" s="161">
        <v>40102</v>
      </c>
      <c r="F365" s="172" t="str">
        <f t="shared" si="17"/>
        <v>2009-10</v>
      </c>
      <c r="G365" s="68"/>
      <c r="H365" s="167" t="s">
        <v>279</v>
      </c>
      <c r="I365" s="173">
        <v>89592.114709699614</v>
      </c>
      <c r="J365" s="168">
        <f>IFERROR(MIN('MP Calculations'!$E$30/I365,1),"-")</f>
        <v>0.31014580161562261</v>
      </c>
      <c r="K365" s="12"/>
      <c r="L365" s="159">
        <v>39.622359000000003</v>
      </c>
      <c r="M365" s="159" t="s">
        <v>408</v>
      </c>
      <c r="N365" s="159">
        <v>809</v>
      </c>
      <c r="O365" s="185">
        <f t="shared" si="16"/>
        <v>32054.488431000002</v>
      </c>
      <c r="P365" s="215">
        <f t="shared" si="18"/>
        <v>9941.5650098111964</v>
      </c>
      <c r="Q365" s="215" cm="1">
        <f t="array" ref="Q365">IF(P365="-",0,P365/(1+'General inputs'!$H$32)^IFERROR(INDEX('MP Calculations'!$C$40:$C$130,MATCH(F365,'MP Calculations'!$D$40:$D$130,0),0),-1))</f>
        <v>16972.081294300548</v>
      </c>
    </row>
    <row r="366" spans="3:17" x14ac:dyDescent="0.25">
      <c r="C366" s="159"/>
      <c r="D366" s="165" t="s">
        <v>281</v>
      </c>
      <c r="E366" s="161">
        <v>40102</v>
      </c>
      <c r="F366" s="172" t="str">
        <f t="shared" si="17"/>
        <v>2009-10</v>
      </c>
      <c r="G366" s="68"/>
      <c r="H366" s="167" t="s">
        <v>279</v>
      </c>
      <c r="I366" s="173">
        <v>89592.114709699614</v>
      </c>
      <c r="J366" s="168">
        <f>IFERROR(MIN('MP Calculations'!$E$30/I366,1),"-")</f>
        <v>0.31014580161562261</v>
      </c>
      <c r="K366" s="12"/>
      <c r="L366" s="159">
        <v>44.941208000000003</v>
      </c>
      <c r="M366" s="159" t="s">
        <v>408</v>
      </c>
      <c r="N366" s="159">
        <v>809</v>
      </c>
      <c r="O366" s="185">
        <f t="shared" si="16"/>
        <v>36357.437272000003</v>
      </c>
      <c r="P366" s="215">
        <f t="shared" si="18"/>
        <v>11276.106527414157</v>
      </c>
      <c r="Q366" s="215" cm="1">
        <f t="array" ref="Q366">IF(P366="-",0,P366/(1+'General inputs'!$H$32)^IFERROR(INDEX('MP Calculations'!$C$40:$C$130,MATCH(F366,'MP Calculations'!$D$40:$D$130,0),0),-1))</f>
        <v>19250.389297620321</v>
      </c>
    </row>
    <row r="367" spans="3:17" x14ac:dyDescent="0.25">
      <c r="C367" s="159"/>
      <c r="D367" s="165" t="s">
        <v>281</v>
      </c>
      <c r="E367" s="161">
        <v>40102</v>
      </c>
      <c r="F367" s="172" t="str">
        <f t="shared" si="17"/>
        <v>2009-10</v>
      </c>
      <c r="G367" s="68"/>
      <c r="H367" s="167" t="s">
        <v>279</v>
      </c>
      <c r="I367" s="173">
        <v>89592.114709699614</v>
      </c>
      <c r="J367" s="168">
        <f>IFERROR(MIN('MP Calculations'!$E$30/I367,1),"-")</f>
        <v>0.31014580161562261</v>
      </c>
      <c r="K367" s="12"/>
      <c r="L367" s="159">
        <v>47.229629000000003</v>
      </c>
      <c r="M367" s="159" t="s">
        <v>408</v>
      </c>
      <c r="N367" s="159">
        <v>809</v>
      </c>
      <c r="O367" s="185">
        <f t="shared" si="16"/>
        <v>38208.769861000001</v>
      </c>
      <c r="P367" s="215">
        <f t="shared" si="18"/>
        <v>11850.289557286686</v>
      </c>
      <c r="Q367" s="215" cm="1">
        <f t="array" ref="Q367">IF(P367="-",0,P367/(1+'General inputs'!$H$32)^IFERROR(INDEX('MP Calculations'!$C$40:$C$130,MATCH(F367,'MP Calculations'!$D$40:$D$130,0),0),-1))</f>
        <v>20230.625412476187</v>
      </c>
    </row>
    <row r="368" spans="3:17" x14ac:dyDescent="0.25">
      <c r="C368" s="159"/>
      <c r="D368" s="165" t="s">
        <v>281</v>
      </c>
      <c r="E368" s="161">
        <v>40102</v>
      </c>
      <c r="F368" s="172" t="str">
        <f t="shared" si="17"/>
        <v>2009-10</v>
      </c>
      <c r="G368" s="68"/>
      <c r="H368" s="167" t="s">
        <v>279</v>
      </c>
      <c r="I368" s="173">
        <v>89592.114709699614</v>
      </c>
      <c r="J368" s="168">
        <f>IFERROR(MIN('MP Calculations'!$E$30/I368,1),"-")</f>
        <v>0.31014580161562261</v>
      </c>
      <c r="K368" s="12"/>
      <c r="L368" s="159">
        <v>36.328448000000002</v>
      </c>
      <c r="M368" s="159" t="s">
        <v>408</v>
      </c>
      <c r="N368" s="159">
        <v>809</v>
      </c>
      <c r="O368" s="185">
        <f t="shared" si="16"/>
        <v>29389.714432000001</v>
      </c>
      <c r="P368" s="215">
        <f t="shared" si="18"/>
        <v>9115.0965417668722</v>
      </c>
      <c r="Q368" s="215" cm="1">
        <f t="array" ref="Q368">IF(P368="-",0,P368/(1+'General inputs'!$H$32)^IFERROR(INDEX('MP Calculations'!$C$40:$C$130,MATCH(F368,'MP Calculations'!$D$40:$D$130,0),0),-1))</f>
        <v>15561.147501383501</v>
      </c>
    </row>
    <row r="369" spans="3:17" x14ac:dyDescent="0.25">
      <c r="C369" s="159"/>
      <c r="D369" s="165" t="s">
        <v>281</v>
      </c>
      <c r="E369" s="161">
        <v>40102</v>
      </c>
      <c r="F369" s="172" t="str">
        <f t="shared" si="17"/>
        <v>2009-10</v>
      </c>
      <c r="G369" s="68"/>
      <c r="H369" s="167" t="s">
        <v>279</v>
      </c>
      <c r="I369" s="173">
        <v>89592.114709699614</v>
      </c>
      <c r="J369" s="168">
        <f>IFERROR(MIN('MP Calculations'!$E$30/I369,1),"-")</f>
        <v>0.31014580161562261</v>
      </c>
      <c r="K369" s="12"/>
      <c r="L369" s="159">
        <v>31.299406000000001</v>
      </c>
      <c r="M369" s="159" t="s">
        <v>408</v>
      </c>
      <c r="N369" s="159">
        <v>809</v>
      </c>
      <c r="O369" s="185">
        <f t="shared" si="16"/>
        <v>25321.219454000002</v>
      </c>
      <c r="P369" s="215">
        <f t="shared" si="18"/>
        <v>7853.2699054459281</v>
      </c>
      <c r="Q369" s="215" cm="1">
        <f t="array" ref="Q369">IF(P369="-",0,P369/(1+'General inputs'!$H$32)^IFERROR(INDEX('MP Calculations'!$C$40:$C$130,MATCH(F369,'MP Calculations'!$D$40:$D$130,0),0),-1))</f>
        <v>13406.977184152976</v>
      </c>
    </row>
    <row r="370" spans="3:17" x14ac:dyDescent="0.25">
      <c r="C370" s="159"/>
      <c r="D370" s="165" t="s">
        <v>283</v>
      </c>
      <c r="E370" s="161">
        <v>40102</v>
      </c>
      <c r="F370" s="172" t="str">
        <f t="shared" si="17"/>
        <v>2009-10</v>
      </c>
      <c r="G370" s="68"/>
      <c r="H370" s="167" t="s">
        <v>279</v>
      </c>
      <c r="I370" s="173">
        <v>89592.114709699614</v>
      </c>
      <c r="J370" s="168">
        <f>IFERROR(MIN('MP Calculations'!$E$30/I370,1),"-")</f>
        <v>0.31014580161562261</v>
      </c>
      <c r="K370" s="12"/>
      <c r="L370" s="159">
        <v>53.909122000000004</v>
      </c>
      <c r="M370" s="159" t="s">
        <v>408</v>
      </c>
      <c r="N370" s="159">
        <v>622</v>
      </c>
      <c r="O370" s="185">
        <f t="shared" si="16"/>
        <v>33531.473883999999</v>
      </c>
      <c r="P370" s="215">
        <f t="shared" si="18"/>
        <v>10399.645847106494</v>
      </c>
      <c r="Q370" s="215" cm="1">
        <f t="array" ref="Q370">IF(P370="-",0,P370/(1+'General inputs'!$H$32)^IFERROR(INDEX('MP Calculations'!$C$40:$C$130,MATCH(F370,'MP Calculations'!$D$40:$D$130,0),0),-1))</f>
        <v>17754.109596913309</v>
      </c>
    </row>
    <row r="371" spans="3:17" x14ac:dyDescent="0.25">
      <c r="C371" s="159"/>
      <c r="D371" s="165" t="s">
        <v>283</v>
      </c>
      <c r="E371" s="161">
        <v>40102</v>
      </c>
      <c r="F371" s="172" t="str">
        <f t="shared" si="17"/>
        <v>2009-10</v>
      </c>
      <c r="G371" s="68"/>
      <c r="H371" s="167" t="s">
        <v>279</v>
      </c>
      <c r="I371" s="173">
        <v>89592.114709699614</v>
      </c>
      <c r="J371" s="168">
        <f>IFERROR(MIN('MP Calculations'!$E$30/I371,1),"-")</f>
        <v>0.31014580161562261</v>
      </c>
      <c r="K371" s="12"/>
      <c r="L371" s="159">
        <v>41.485247000000001</v>
      </c>
      <c r="M371" s="159" t="s">
        <v>408</v>
      </c>
      <c r="N371" s="159">
        <v>622</v>
      </c>
      <c r="O371" s="185">
        <f t="shared" si="16"/>
        <v>25803.823634</v>
      </c>
      <c r="P371" s="215">
        <f t="shared" si="18"/>
        <v>8002.9475657150779</v>
      </c>
      <c r="Q371" s="215" cm="1">
        <f t="array" ref="Q371">IF(P371="-",0,P371/(1+'General inputs'!$H$32)^IFERROR(INDEX('MP Calculations'!$C$40:$C$130,MATCH(F371,'MP Calculations'!$D$40:$D$130,0),0),-1))</f>
        <v>13662.5044995728</v>
      </c>
    </row>
    <row r="372" spans="3:17" x14ac:dyDescent="0.25">
      <c r="C372" s="159"/>
      <c r="D372" s="165" t="s">
        <v>283</v>
      </c>
      <c r="E372" s="161">
        <v>40102</v>
      </c>
      <c r="F372" s="172" t="str">
        <f t="shared" si="17"/>
        <v>2009-10</v>
      </c>
      <c r="G372" s="68"/>
      <c r="H372" s="167" t="s">
        <v>279</v>
      </c>
      <c r="I372" s="173">
        <v>89592.114709699614</v>
      </c>
      <c r="J372" s="168">
        <f>IFERROR(MIN('MP Calculations'!$E$30/I372,1),"-")</f>
        <v>0.31014580161562261</v>
      </c>
      <c r="K372" s="12"/>
      <c r="L372" s="159">
        <v>55.900346999999996</v>
      </c>
      <c r="M372" s="159" t="s">
        <v>408</v>
      </c>
      <c r="N372" s="159">
        <v>622</v>
      </c>
      <c r="O372" s="185">
        <f t="shared" si="16"/>
        <v>34770.015833999998</v>
      </c>
      <c r="P372" s="215">
        <f t="shared" si="18"/>
        <v>10783.77443302382</v>
      </c>
      <c r="Q372" s="215" cm="1">
        <f t="array" ref="Q372">IF(P372="-",0,P372/(1+'General inputs'!$H$32)^IFERROR(INDEX('MP Calculations'!$C$40:$C$130,MATCH(F372,'MP Calculations'!$D$40:$D$130,0),0),-1))</f>
        <v>18409.88779493541</v>
      </c>
    </row>
    <row r="373" spans="3:17" x14ac:dyDescent="0.25">
      <c r="C373" s="159"/>
      <c r="D373" s="165" t="s">
        <v>283</v>
      </c>
      <c r="E373" s="161">
        <v>40102</v>
      </c>
      <c r="F373" s="172" t="str">
        <f t="shared" si="17"/>
        <v>2009-10</v>
      </c>
      <c r="G373" s="68"/>
      <c r="H373" s="167" t="s">
        <v>279</v>
      </c>
      <c r="I373" s="173">
        <v>89592.114709699614</v>
      </c>
      <c r="J373" s="168">
        <f>IFERROR(MIN('MP Calculations'!$E$30/I373,1),"-")</f>
        <v>0.31014580161562261</v>
      </c>
      <c r="K373" s="12"/>
      <c r="L373" s="159">
        <v>47.162973000000001</v>
      </c>
      <c r="M373" s="159" t="s">
        <v>408</v>
      </c>
      <c r="N373" s="159">
        <v>622</v>
      </c>
      <c r="O373" s="185">
        <f t="shared" si="16"/>
        <v>29335.369205999999</v>
      </c>
      <c r="P373" s="215">
        <f t="shared" si="18"/>
        <v>9098.2415980851201</v>
      </c>
      <c r="Q373" s="215" cm="1">
        <f t="array" ref="Q373">IF(P373="-",0,P373/(1+'General inputs'!$H$32)^IFERROR(INDEX('MP Calculations'!$C$40:$C$130,MATCH(F373,'MP Calculations'!$D$40:$D$130,0),0),-1))</f>
        <v>15532.373010234951</v>
      </c>
    </row>
    <row r="374" spans="3:17" x14ac:dyDescent="0.25">
      <c r="C374" s="159"/>
      <c r="D374" s="165" t="s">
        <v>283</v>
      </c>
      <c r="E374" s="161">
        <v>40102</v>
      </c>
      <c r="F374" s="172" t="str">
        <f t="shared" si="17"/>
        <v>2009-10</v>
      </c>
      <c r="G374" s="68"/>
      <c r="H374" s="167" t="s">
        <v>279</v>
      </c>
      <c r="I374" s="173">
        <v>89592.114709699614</v>
      </c>
      <c r="J374" s="168">
        <f>IFERROR(MIN('MP Calculations'!$E$30/I374,1),"-")</f>
        <v>0.31014580161562261</v>
      </c>
      <c r="K374" s="12"/>
      <c r="L374" s="159">
        <v>44.413544999999999</v>
      </c>
      <c r="M374" s="159" t="s">
        <v>408</v>
      </c>
      <c r="N374" s="159">
        <v>622</v>
      </c>
      <c r="O374" s="185">
        <f t="shared" si="16"/>
        <v>27625.224989999999</v>
      </c>
      <c r="P374" s="215">
        <f t="shared" si="18"/>
        <v>8567.8475493354799</v>
      </c>
      <c r="Q374" s="215" cm="1">
        <f t="array" ref="Q374">IF(P374="-",0,P374/(1+'General inputs'!$H$32)^IFERROR(INDEX('MP Calculations'!$C$40:$C$130,MATCH(F374,'MP Calculations'!$D$40:$D$130,0),0),-1))</f>
        <v>14626.892745859246</v>
      </c>
    </row>
    <row r="375" spans="3:17" x14ac:dyDescent="0.25">
      <c r="C375" s="159"/>
      <c r="D375" s="165" t="s">
        <v>283</v>
      </c>
      <c r="E375" s="161">
        <v>40102</v>
      </c>
      <c r="F375" s="172" t="str">
        <f t="shared" si="17"/>
        <v>2009-10</v>
      </c>
      <c r="G375" s="68"/>
      <c r="H375" s="167" t="s">
        <v>279</v>
      </c>
      <c r="I375" s="173">
        <v>89592.114709699614</v>
      </c>
      <c r="J375" s="168">
        <f>IFERROR(MIN('MP Calculations'!$E$30/I375,1),"-")</f>
        <v>0.31014580161562261</v>
      </c>
      <c r="K375" s="12"/>
      <c r="L375" s="159">
        <v>39.808722000000003</v>
      </c>
      <c r="M375" s="159" t="s">
        <v>408</v>
      </c>
      <c r="N375" s="159">
        <v>622</v>
      </c>
      <c r="O375" s="185">
        <f t="shared" si="16"/>
        <v>24761.025084000001</v>
      </c>
      <c r="P375" s="215">
        <f t="shared" si="18"/>
        <v>7679.5279735017193</v>
      </c>
      <c r="Q375" s="215" cm="1">
        <f t="array" ref="Q375">IF(P375="-",0,P375/(1+'General inputs'!$H$32)^IFERROR(INDEX('MP Calculations'!$C$40:$C$130,MATCH(F375,'MP Calculations'!$D$40:$D$130,0),0),-1))</f>
        <v>13110.367727766999</v>
      </c>
    </row>
    <row r="376" spans="3:17" x14ac:dyDescent="0.25">
      <c r="C376" s="159"/>
      <c r="D376" s="165" t="s">
        <v>283</v>
      </c>
      <c r="E376" s="161">
        <v>40102</v>
      </c>
      <c r="F376" s="172" t="str">
        <f t="shared" si="17"/>
        <v>2009-10</v>
      </c>
      <c r="G376" s="68"/>
      <c r="H376" s="167" t="s">
        <v>279</v>
      </c>
      <c r="I376" s="173">
        <v>89592.114709699614</v>
      </c>
      <c r="J376" s="168">
        <f>IFERROR(MIN('MP Calculations'!$E$30/I376,1),"-")</f>
        <v>0.31014580161562261</v>
      </c>
      <c r="K376" s="12"/>
      <c r="L376" s="159">
        <v>78.191209000000001</v>
      </c>
      <c r="M376" s="159" t="s">
        <v>408</v>
      </c>
      <c r="N376" s="159">
        <v>622</v>
      </c>
      <c r="O376" s="185">
        <f t="shared" si="16"/>
        <v>48634.931998</v>
      </c>
      <c r="P376" s="215">
        <f t="shared" si="18"/>
        <v>15083.919971041005</v>
      </c>
      <c r="Q376" s="215" cm="1">
        <f t="array" ref="Q376">IF(P376="-",0,P376/(1+'General inputs'!$H$32)^IFERROR(INDEX('MP Calculations'!$C$40:$C$130,MATCH(F376,'MP Calculations'!$D$40:$D$130,0),0),-1))</f>
        <v>25751.027703644559</v>
      </c>
    </row>
    <row r="377" spans="3:17" x14ac:dyDescent="0.25">
      <c r="C377" s="159"/>
      <c r="D377" s="165" t="s">
        <v>283</v>
      </c>
      <c r="E377" s="161">
        <v>40102</v>
      </c>
      <c r="F377" s="172" t="str">
        <f t="shared" si="17"/>
        <v>2009-10</v>
      </c>
      <c r="G377" s="68"/>
      <c r="H377" s="167" t="s">
        <v>279</v>
      </c>
      <c r="I377" s="173">
        <v>89592.114709699614</v>
      </c>
      <c r="J377" s="168">
        <f>IFERROR(MIN('MP Calculations'!$E$30/I377,1),"-")</f>
        <v>0.31014580161562261</v>
      </c>
      <c r="K377" s="12"/>
      <c r="L377" s="159">
        <v>80.925967</v>
      </c>
      <c r="M377" s="159" t="s">
        <v>408</v>
      </c>
      <c r="N377" s="159">
        <v>622</v>
      </c>
      <c r="O377" s="185">
        <f t="shared" si="16"/>
        <v>50335.951474000001</v>
      </c>
      <c r="P377" s="215">
        <f t="shared" si="18"/>
        <v>15611.484019988811</v>
      </c>
      <c r="Q377" s="215" cm="1">
        <f t="array" ref="Q377">IF(P377="-",0,P377/(1+'General inputs'!$H$32)^IFERROR(INDEX('MP Calculations'!$C$40:$C$130,MATCH(F377,'MP Calculations'!$D$40:$D$130,0),0),-1))</f>
        <v>26651.676637475004</v>
      </c>
    </row>
    <row r="378" spans="3:17" x14ac:dyDescent="0.25">
      <c r="C378" s="159"/>
      <c r="D378" s="165" t="s">
        <v>626</v>
      </c>
      <c r="E378" s="161">
        <v>40147</v>
      </c>
      <c r="F378" s="172" t="str">
        <f t="shared" si="17"/>
        <v>2009-10</v>
      </c>
      <c r="G378" s="68"/>
      <c r="H378" s="167" t="s">
        <v>279</v>
      </c>
      <c r="I378" s="173">
        <v>89592.114709699614</v>
      </c>
      <c r="J378" s="168">
        <f>IFERROR(MIN('MP Calculations'!$E$30/I378,1),"-")</f>
        <v>0.31014580161562261</v>
      </c>
      <c r="K378" s="12"/>
      <c r="L378" s="159">
        <v>1</v>
      </c>
      <c r="M378" s="159" t="s">
        <v>409</v>
      </c>
      <c r="N378" s="159">
        <v>211078.25</v>
      </c>
      <c r="O378" s="185">
        <f t="shared" si="16"/>
        <v>211078.25</v>
      </c>
      <c r="P378" s="215">
        <f t="shared" si="18"/>
        <v>65465.033049872793</v>
      </c>
      <c r="Q378" s="215" cm="1">
        <f t="array" ref="Q378">IF(P378="-",0,P378/(1+'General inputs'!$H$32)^IFERROR(INDEX('MP Calculations'!$C$40:$C$130,MATCH(F378,'MP Calculations'!$D$40:$D$130,0),0),-1))</f>
        <v>111760.860765886</v>
      </c>
    </row>
    <row r="379" spans="3:17" x14ac:dyDescent="0.25">
      <c r="C379" s="159"/>
      <c r="D379" s="165" t="s">
        <v>627</v>
      </c>
      <c r="E379" s="161">
        <v>40179</v>
      </c>
      <c r="F379" s="172" t="str">
        <f t="shared" si="17"/>
        <v>2009-10</v>
      </c>
      <c r="G379" s="68"/>
      <c r="H379" s="167" t="s">
        <v>279</v>
      </c>
      <c r="I379" s="173">
        <v>89592.114709699614</v>
      </c>
      <c r="J379" s="168">
        <f>IFERROR(MIN('MP Calculations'!$E$30/I379,1),"-")</f>
        <v>0.31014580161562261</v>
      </c>
      <c r="K379" s="12"/>
      <c r="L379" s="159">
        <v>1</v>
      </c>
      <c r="M379" s="159" t="s">
        <v>409</v>
      </c>
      <c r="N379" s="159">
        <v>24275.69</v>
      </c>
      <c r="O379" s="185">
        <f t="shared" si="16"/>
        <v>24275.69</v>
      </c>
      <c r="P379" s="215">
        <f t="shared" si="18"/>
        <v>7529.0033348223533</v>
      </c>
      <c r="Q379" s="215" cm="1">
        <f t="array" ref="Q379">IF(P379="-",0,P379/(1+'General inputs'!$H$32)^IFERROR(INDEX('MP Calculations'!$C$40:$C$130,MATCH(F379,'MP Calculations'!$D$40:$D$130,0),0),-1))</f>
        <v>12853.394464307956</v>
      </c>
    </row>
    <row r="380" spans="3:17" x14ac:dyDescent="0.25">
      <c r="C380" s="159"/>
      <c r="D380" s="165" t="s">
        <v>628</v>
      </c>
      <c r="E380" s="161">
        <v>40179</v>
      </c>
      <c r="F380" s="172" t="str">
        <f t="shared" si="17"/>
        <v>2009-10</v>
      </c>
      <c r="G380" s="68"/>
      <c r="H380" s="167" t="s">
        <v>279</v>
      </c>
      <c r="I380" s="173">
        <v>89592.114709699614</v>
      </c>
      <c r="J380" s="168">
        <f>IFERROR(MIN('MP Calculations'!$E$30/I380,1),"-")</f>
        <v>0.31014580161562261</v>
      </c>
      <c r="K380" s="12"/>
      <c r="L380" s="159">
        <v>1</v>
      </c>
      <c r="M380" s="159" t="s">
        <v>409</v>
      </c>
      <c r="N380" s="159">
        <v>4077.57</v>
      </c>
      <c r="O380" s="185">
        <f t="shared" si="16"/>
        <v>4077.57</v>
      </c>
      <c r="P380" s="215">
        <f t="shared" si="18"/>
        <v>1264.6412162938143</v>
      </c>
      <c r="Q380" s="215" cm="1">
        <f t="array" ref="Q380">IF(P380="-",0,P380/(1+'General inputs'!$H$32)^IFERROR(INDEX('MP Calculations'!$C$40:$C$130,MATCH(F380,'MP Calculations'!$D$40:$D$130,0),0),-1))</f>
        <v>2158.9753232896037</v>
      </c>
    </row>
    <row r="381" spans="3:17" x14ac:dyDescent="0.25">
      <c r="C381" s="159"/>
      <c r="D381" s="165" t="s">
        <v>629</v>
      </c>
      <c r="E381" s="161">
        <v>40179</v>
      </c>
      <c r="F381" s="172" t="str">
        <f t="shared" si="17"/>
        <v>2009-10</v>
      </c>
      <c r="G381" s="68"/>
      <c r="H381" s="167" t="s">
        <v>279</v>
      </c>
      <c r="I381" s="173">
        <v>89592.114709699614</v>
      </c>
      <c r="J381" s="168">
        <f>IFERROR(MIN('MP Calculations'!$E$30/I381,1),"-")</f>
        <v>0.31014580161562261</v>
      </c>
      <c r="K381" s="12"/>
      <c r="L381" s="159">
        <v>1</v>
      </c>
      <c r="M381" s="159" t="s">
        <v>409</v>
      </c>
      <c r="N381" s="159">
        <v>16467.28</v>
      </c>
      <c r="O381" s="185">
        <f t="shared" si="16"/>
        <v>16467.28</v>
      </c>
      <c r="P381" s="215">
        <f t="shared" si="18"/>
        <v>5107.2577560289092</v>
      </c>
      <c r="Q381" s="215" cm="1">
        <f t="array" ref="Q381">IF(P381="-",0,P381/(1+'General inputs'!$H$32)^IFERROR(INDEX('MP Calculations'!$C$40:$C$130,MATCH(F381,'MP Calculations'!$D$40:$D$130,0),0),-1))</f>
        <v>8719.029020151811</v>
      </c>
    </row>
    <row r="382" spans="3:17" x14ac:dyDescent="0.25">
      <c r="C382" s="159"/>
      <c r="D382" s="165" t="s">
        <v>630</v>
      </c>
      <c r="E382" s="161">
        <v>40190</v>
      </c>
      <c r="F382" s="172" t="str">
        <f t="shared" si="17"/>
        <v>2009-10</v>
      </c>
      <c r="G382" s="68"/>
      <c r="H382" s="167" t="s">
        <v>279</v>
      </c>
      <c r="I382" s="173">
        <v>89592.114709699614</v>
      </c>
      <c r="J382" s="168">
        <f>IFERROR(MIN('MP Calculations'!$E$30/I382,1),"-")</f>
        <v>0.31014580161562261</v>
      </c>
      <c r="K382" s="12"/>
      <c r="L382" s="159">
        <v>1</v>
      </c>
      <c r="M382" s="159" t="s">
        <v>409</v>
      </c>
      <c r="N382" s="159">
        <v>81965.850000000006</v>
      </c>
      <c r="O382" s="185">
        <f t="shared" si="16"/>
        <v>81965.850000000006</v>
      </c>
      <c r="P382" s="215">
        <f t="shared" si="18"/>
        <v>25421.364253355881</v>
      </c>
      <c r="Q382" s="215" cm="1">
        <f t="array" ref="Q382">IF(P382="-",0,P382/(1+'General inputs'!$H$32)^IFERROR(INDEX('MP Calculations'!$C$40:$C$130,MATCH(F382,'MP Calculations'!$D$40:$D$130,0),0),-1))</f>
        <v>43398.947780775597</v>
      </c>
    </row>
    <row r="383" spans="3:17" x14ac:dyDescent="0.25">
      <c r="C383" s="159"/>
      <c r="D383" s="165" t="s">
        <v>631</v>
      </c>
      <c r="E383" s="161">
        <v>40190</v>
      </c>
      <c r="F383" s="172" t="str">
        <f t="shared" si="17"/>
        <v>2009-10</v>
      </c>
      <c r="G383" s="68"/>
      <c r="H383" s="167" t="s">
        <v>279</v>
      </c>
      <c r="I383" s="173">
        <v>89592.114709699614</v>
      </c>
      <c r="J383" s="168">
        <f>IFERROR(MIN('MP Calculations'!$E$30/I383,1),"-")</f>
        <v>0.31014580161562261</v>
      </c>
      <c r="K383" s="12"/>
      <c r="L383" s="159">
        <v>1</v>
      </c>
      <c r="M383" s="159" t="s">
        <v>409</v>
      </c>
      <c r="N383" s="159">
        <v>81965.850000000006</v>
      </c>
      <c r="O383" s="185">
        <f t="shared" si="16"/>
        <v>81965.850000000006</v>
      </c>
      <c r="P383" s="215">
        <f t="shared" si="18"/>
        <v>25421.364253355881</v>
      </c>
      <c r="Q383" s="215" cm="1">
        <f t="array" ref="Q383">IF(P383="-",0,P383/(1+'General inputs'!$H$32)^IFERROR(INDEX('MP Calculations'!$C$40:$C$130,MATCH(F383,'MP Calculations'!$D$40:$D$130,0),0),-1))</f>
        <v>43398.947780775597</v>
      </c>
    </row>
    <row r="384" spans="3:17" x14ac:dyDescent="0.25">
      <c r="C384" s="159"/>
      <c r="D384" s="165" t="s">
        <v>632</v>
      </c>
      <c r="E384" s="161">
        <v>40190</v>
      </c>
      <c r="F384" s="172" t="str">
        <f t="shared" si="17"/>
        <v>2009-10</v>
      </c>
      <c r="G384" s="68"/>
      <c r="H384" s="167" t="s">
        <v>279</v>
      </c>
      <c r="I384" s="173">
        <v>89592.114709699614</v>
      </c>
      <c r="J384" s="168">
        <f>IFERROR(MIN('MP Calculations'!$E$30/I384,1),"-")</f>
        <v>0.31014580161562261</v>
      </c>
      <c r="K384" s="12"/>
      <c r="L384" s="159">
        <v>1</v>
      </c>
      <c r="M384" s="159" t="s">
        <v>409</v>
      </c>
      <c r="N384" s="159">
        <v>1667193.6</v>
      </c>
      <c r="O384" s="185">
        <f t="shared" si="16"/>
        <v>1667193.6</v>
      </c>
      <c r="P384" s="215">
        <f t="shared" si="18"/>
        <v>517073.09552043572</v>
      </c>
      <c r="Q384" s="215" cm="1">
        <f t="array" ref="Q384">IF(P384="-",0,P384/(1+'General inputs'!$H$32)^IFERROR(INDEX('MP Calculations'!$C$40:$C$130,MATCH(F384,'MP Calculations'!$D$40:$D$130,0),0),-1))</f>
        <v>882738.94538814982</v>
      </c>
    </row>
    <row r="385" spans="3:17" x14ac:dyDescent="0.25">
      <c r="C385" s="159"/>
      <c r="D385" s="165" t="s">
        <v>633</v>
      </c>
      <c r="E385" s="161">
        <v>40190</v>
      </c>
      <c r="F385" s="172" t="str">
        <f t="shared" si="17"/>
        <v>2009-10</v>
      </c>
      <c r="G385" s="68"/>
      <c r="H385" s="167" t="s">
        <v>279</v>
      </c>
      <c r="I385" s="173">
        <v>89592.114709699614</v>
      </c>
      <c r="J385" s="168">
        <f>IFERROR(MIN('MP Calculations'!$E$30/I385,1),"-")</f>
        <v>0.31014580161562261</v>
      </c>
      <c r="K385" s="12"/>
      <c r="L385" s="159">
        <v>1</v>
      </c>
      <c r="M385" s="159" t="s">
        <v>409</v>
      </c>
      <c r="N385" s="159">
        <v>175829.24</v>
      </c>
      <c r="O385" s="185">
        <f t="shared" ref="O385:O541" si="19">IF(N385="","-",L385*N385)</f>
        <v>175829.24</v>
      </c>
      <c r="P385" s="215">
        <f t="shared" si="18"/>
        <v>54532.700587265696</v>
      </c>
      <c r="Q385" s="215" cm="1">
        <f t="array" ref="Q385">IF(P385="-",0,P385/(1+'General inputs'!$H$32)^IFERROR(INDEX('MP Calculations'!$C$40:$C$130,MATCH(F385,'MP Calculations'!$D$40:$D$130,0),0),-1))</f>
        <v>93097.357071188308</v>
      </c>
    </row>
    <row r="386" spans="3:17" x14ac:dyDescent="0.25">
      <c r="C386" s="159"/>
      <c r="D386" s="165" t="s">
        <v>634</v>
      </c>
      <c r="E386" s="161">
        <v>40190</v>
      </c>
      <c r="F386" s="172" t="str">
        <f t="shared" si="17"/>
        <v>2009-10</v>
      </c>
      <c r="G386" s="68"/>
      <c r="H386" s="167" t="s">
        <v>279</v>
      </c>
      <c r="I386" s="173">
        <v>89592.114709699614</v>
      </c>
      <c r="J386" s="168">
        <f>IFERROR(MIN('MP Calculations'!$E$30/I386,1),"-")</f>
        <v>0.31014580161562261</v>
      </c>
      <c r="K386" s="12"/>
      <c r="L386" s="159">
        <v>1</v>
      </c>
      <c r="M386" s="159" t="s">
        <v>409</v>
      </c>
      <c r="N386" s="159">
        <v>664387.35</v>
      </c>
      <c r="O386" s="185">
        <f t="shared" si="19"/>
        <v>664387.35</v>
      </c>
      <c r="P386" s="215">
        <f t="shared" si="18"/>
        <v>206056.94724902921</v>
      </c>
      <c r="Q386" s="215" cm="1">
        <f t="array" ref="Q386">IF(P386="-",0,P386/(1+'General inputs'!$H$32)^IFERROR(INDEX('MP Calculations'!$C$40:$C$130,MATCH(F386,'MP Calculations'!$D$40:$D$130,0),0),-1))</f>
        <v>351777.13534182683</v>
      </c>
    </row>
    <row r="387" spans="3:17" x14ac:dyDescent="0.25">
      <c r="C387" s="159"/>
      <c r="D387" s="165" t="s">
        <v>635</v>
      </c>
      <c r="E387" s="161">
        <v>40210</v>
      </c>
      <c r="F387" s="172" t="str">
        <f t="shared" si="17"/>
        <v>2009-10</v>
      </c>
      <c r="G387" s="68"/>
      <c r="H387" s="167" t="s">
        <v>279</v>
      </c>
      <c r="I387" s="173">
        <v>89592.114709699614</v>
      </c>
      <c r="J387" s="168">
        <f>IFERROR(MIN('MP Calculations'!$E$30/I387,1),"-")</f>
        <v>0.31014580161562261</v>
      </c>
      <c r="K387" s="12"/>
      <c r="L387" s="159">
        <v>1</v>
      </c>
      <c r="M387" s="159" t="s">
        <v>409</v>
      </c>
      <c r="N387" s="159">
        <v>3042.91</v>
      </c>
      <c r="O387" s="185">
        <f t="shared" si="19"/>
        <v>3042.91</v>
      </c>
      <c r="P387" s="215">
        <f t="shared" si="18"/>
        <v>943.74576119419419</v>
      </c>
      <c r="Q387" s="215" cm="1">
        <f t="array" ref="Q387">IF(P387="-",0,P387/(1+'General inputs'!$H$32)^IFERROR(INDEX('MP Calculations'!$C$40:$C$130,MATCH(F387,'MP Calculations'!$D$40:$D$130,0),0),-1))</f>
        <v>1611.1477181240707</v>
      </c>
    </row>
    <row r="388" spans="3:17" x14ac:dyDescent="0.25">
      <c r="C388" s="159"/>
      <c r="D388" s="165" t="s">
        <v>636</v>
      </c>
      <c r="E388" s="161">
        <v>40210</v>
      </c>
      <c r="F388" s="172" t="str">
        <f t="shared" si="17"/>
        <v>2009-10</v>
      </c>
      <c r="G388" s="68"/>
      <c r="H388" s="167" t="s">
        <v>279</v>
      </c>
      <c r="I388" s="173">
        <v>89592.114709699614</v>
      </c>
      <c r="J388" s="168">
        <f>IFERROR(MIN('MP Calculations'!$E$30/I388,1),"-")</f>
        <v>0.31014580161562261</v>
      </c>
      <c r="K388" s="12"/>
      <c r="L388" s="159">
        <v>1</v>
      </c>
      <c r="M388" s="159" t="s">
        <v>409</v>
      </c>
      <c r="N388" s="159">
        <v>3791.9</v>
      </c>
      <c r="O388" s="185">
        <f t="shared" si="19"/>
        <v>3791.9</v>
      </c>
      <c r="P388" s="215">
        <f t="shared" si="18"/>
        <v>1176.0418651462794</v>
      </c>
      <c r="Q388" s="215" cm="1">
        <f t="array" ref="Q388">IF(P388="-",0,P388/(1+'General inputs'!$H$32)^IFERROR(INDEX('MP Calculations'!$C$40:$C$130,MATCH(F388,'MP Calculations'!$D$40:$D$130,0),0),-1))</f>
        <v>2007.7199234793879</v>
      </c>
    </row>
    <row r="389" spans="3:17" x14ac:dyDescent="0.25">
      <c r="C389" s="159"/>
      <c r="D389" s="165" t="s">
        <v>637</v>
      </c>
      <c r="E389" s="161">
        <v>40210</v>
      </c>
      <c r="F389" s="172" t="str">
        <f t="shared" si="17"/>
        <v>2009-10</v>
      </c>
      <c r="G389" s="68"/>
      <c r="H389" s="167" t="s">
        <v>279</v>
      </c>
      <c r="I389" s="173">
        <v>89592.114709699614</v>
      </c>
      <c r="J389" s="168">
        <f>IFERROR(MIN('MP Calculations'!$E$30/I389,1),"-")</f>
        <v>0.31014580161562261</v>
      </c>
      <c r="K389" s="12"/>
      <c r="L389" s="159">
        <v>1</v>
      </c>
      <c r="M389" s="159" t="s">
        <v>409</v>
      </c>
      <c r="N389" s="159">
        <v>13318.17</v>
      </c>
      <c r="O389" s="185">
        <f t="shared" si="19"/>
        <v>13318.17</v>
      </c>
      <c r="P389" s="215">
        <f t="shared" si="18"/>
        <v>4130.5745107031362</v>
      </c>
      <c r="Q389" s="215" cm="1">
        <f t="array" ref="Q389">IF(P389="-",0,P389/(1+'General inputs'!$H$32)^IFERROR(INDEX('MP Calculations'!$C$40:$C$130,MATCH(F389,'MP Calculations'!$D$40:$D$130,0),0),-1))</f>
        <v>7051.6509542143722</v>
      </c>
    </row>
    <row r="390" spans="3:17" x14ac:dyDescent="0.25">
      <c r="C390" s="159"/>
      <c r="D390" s="165" t="s">
        <v>638</v>
      </c>
      <c r="E390" s="161">
        <v>40210</v>
      </c>
      <c r="F390" s="172" t="str">
        <f t="shared" si="17"/>
        <v>2009-10</v>
      </c>
      <c r="G390" s="68"/>
      <c r="H390" s="167" t="s">
        <v>279</v>
      </c>
      <c r="I390" s="173">
        <v>89592.114709699614</v>
      </c>
      <c r="J390" s="168">
        <f>IFERROR(MIN('MP Calculations'!$E$30/I390,1),"-")</f>
        <v>0.31014580161562261</v>
      </c>
      <c r="K390" s="12"/>
      <c r="L390" s="159">
        <v>1</v>
      </c>
      <c r="M390" s="159" t="s">
        <v>409</v>
      </c>
      <c r="N390" s="159">
        <v>1668.41</v>
      </c>
      <c r="O390" s="185">
        <f t="shared" si="19"/>
        <v>1668.41</v>
      </c>
      <c r="P390" s="215">
        <f t="shared" si="18"/>
        <v>517.45035687352095</v>
      </c>
      <c r="Q390" s="215" cm="1">
        <f t="array" ref="Q390">IF(P390="-",0,P390/(1+'General inputs'!$H$32)^IFERROR(INDEX('MP Calculations'!$C$40:$C$130,MATCH(F390,'MP Calculations'!$D$40:$D$130,0),0),-1))</f>
        <v>883.38299995575983</v>
      </c>
    </row>
    <row r="391" spans="3:17" x14ac:dyDescent="0.25">
      <c r="C391" s="159"/>
      <c r="D391" s="165" t="s">
        <v>639</v>
      </c>
      <c r="E391" s="161">
        <v>40238</v>
      </c>
      <c r="F391" s="172" t="str">
        <f t="shared" si="17"/>
        <v>2009-10</v>
      </c>
      <c r="G391" s="68"/>
      <c r="H391" s="167" t="s">
        <v>279</v>
      </c>
      <c r="I391" s="173">
        <v>89592.114709699614</v>
      </c>
      <c r="J391" s="168">
        <f>IFERROR(MIN('MP Calculations'!$E$30/I391,1),"-")</f>
        <v>0.31014580161562261</v>
      </c>
      <c r="K391" s="12"/>
      <c r="L391" s="159">
        <v>1</v>
      </c>
      <c r="M391" s="159" t="s">
        <v>409</v>
      </c>
      <c r="N391" s="159">
        <v>4365.97</v>
      </c>
      <c r="O391" s="185">
        <f t="shared" si="19"/>
        <v>4365.97</v>
      </c>
      <c r="P391" s="215">
        <f t="shared" si="18"/>
        <v>1354.0872654797599</v>
      </c>
      <c r="Q391" s="215" cm="1">
        <f t="array" ref="Q391">IF(P391="-",0,P391/(1+'General inputs'!$H$32)^IFERROR(INDEX('MP Calculations'!$C$40:$C$130,MATCH(F391,'MP Calculations'!$D$40:$D$130,0),0),-1))</f>
        <v>2311.6761924927619</v>
      </c>
    </row>
    <row r="392" spans="3:17" x14ac:dyDescent="0.25">
      <c r="C392" s="159"/>
      <c r="D392" s="165" t="s">
        <v>640</v>
      </c>
      <c r="E392" s="161">
        <v>40238</v>
      </c>
      <c r="F392" s="172" t="str">
        <f t="shared" si="17"/>
        <v>2009-10</v>
      </c>
      <c r="G392" s="68"/>
      <c r="H392" s="167" t="s">
        <v>279</v>
      </c>
      <c r="I392" s="173">
        <v>89592.114709699614</v>
      </c>
      <c r="J392" s="168">
        <f>IFERROR(MIN('MP Calculations'!$E$30/I392,1),"-")</f>
        <v>0.31014580161562261</v>
      </c>
      <c r="K392" s="12"/>
      <c r="L392" s="159">
        <v>1</v>
      </c>
      <c r="M392" s="159" t="s">
        <v>409</v>
      </c>
      <c r="N392" s="159">
        <v>5642.92</v>
      </c>
      <c r="O392" s="185">
        <f t="shared" si="19"/>
        <v>5642.92</v>
      </c>
      <c r="P392" s="215">
        <f t="shared" si="18"/>
        <v>1750.1279468528292</v>
      </c>
      <c r="Q392" s="215" cm="1">
        <f t="array" ref="Q392">IF(P392="-",0,P392/(1+'General inputs'!$H$32)^IFERROR(INDEX('MP Calculations'!$C$40:$C$130,MATCH(F392,'MP Calculations'!$D$40:$D$130,0),0),-1))</f>
        <v>2987.7905299718632</v>
      </c>
    </row>
    <row r="393" spans="3:17" x14ac:dyDescent="0.25">
      <c r="C393" s="159"/>
      <c r="D393" s="165" t="s">
        <v>641</v>
      </c>
      <c r="E393" s="161">
        <v>40238</v>
      </c>
      <c r="F393" s="172" t="str">
        <f t="shared" si="17"/>
        <v>2009-10</v>
      </c>
      <c r="G393" s="68"/>
      <c r="H393" s="167" t="s">
        <v>279</v>
      </c>
      <c r="I393" s="173">
        <v>89592.114709699614</v>
      </c>
      <c r="J393" s="168">
        <f>IFERROR(MIN('MP Calculations'!$E$30/I393,1),"-")</f>
        <v>0.31014580161562261</v>
      </c>
      <c r="K393" s="12"/>
      <c r="L393" s="159">
        <v>1</v>
      </c>
      <c r="M393" s="159" t="s">
        <v>409</v>
      </c>
      <c r="N393" s="159">
        <v>2009.73</v>
      </c>
      <c r="O393" s="185">
        <f t="shared" si="19"/>
        <v>2009.73</v>
      </c>
      <c r="P393" s="215">
        <f t="shared" si="18"/>
        <v>623.30932188096517</v>
      </c>
      <c r="Q393" s="215" cm="1">
        <f t="array" ref="Q393">IF(P393="-",0,P393/(1+'General inputs'!$H$32)^IFERROR(INDEX('MP Calculations'!$C$40:$C$130,MATCH(F393,'MP Calculations'!$D$40:$D$130,0),0),-1))</f>
        <v>1064.1037373913421</v>
      </c>
    </row>
    <row r="394" spans="3:17" x14ac:dyDescent="0.25">
      <c r="C394" s="159"/>
      <c r="D394" s="165" t="s">
        <v>642</v>
      </c>
      <c r="E394" s="161">
        <v>40299</v>
      </c>
      <c r="F394" s="172" t="str">
        <f t="shared" si="17"/>
        <v>2009-10</v>
      </c>
      <c r="G394" s="68"/>
      <c r="H394" s="167" t="s">
        <v>279</v>
      </c>
      <c r="I394" s="173">
        <v>89592.114709699614</v>
      </c>
      <c r="J394" s="168">
        <f>IFERROR(MIN('MP Calculations'!$E$30/I394,1),"-")</f>
        <v>0.31014580161562261</v>
      </c>
      <c r="K394" s="12"/>
      <c r="L394" s="159">
        <v>1</v>
      </c>
      <c r="M394" s="159" t="s">
        <v>409</v>
      </c>
      <c r="N394" s="159">
        <v>8804.51</v>
      </c>
      <c r="O394" s="185">
        <f t="shared" si="19"/>
        <v>8804.51</v>
      </c>
      <c r="P394" s="215">
        <f t="shared" si="18"/>
        <v>2730.6818117827656</v>
      </c>
      <c r="Q394" s="215" cm="1">
        <f t="array" ref="Q394">IF(P394="-",0,P394/(1+'General inputs'!$H$32)^IFERROR(INDEX('MP Calculations'!$C$40:$C$130,MATCH(F394,'MP Calculations'!$D$40:$D$130,0),0),-1))</f>
        <v>4661.7764559913257</v>
      </c>
    </row>
    <row r="395" spans="3:17" x14ac:dyDescent="0.25">
      <c r="C395" s="159"/>
      <c r="D395" s="165" t="s">
        <v>643</v>
      </c>
      <c r="E395" s="161">
        <v>40299</v>
      </c>
      <c r="F395" s="172" t="str">
        <f t="shared" si="17"/>
        <v>2009-10</v>
      </c>
      <c r="G395" s="68"/>
      <c r="H395" s="167" t="s">
        <v>279</v>
      </c>
      <c r="I395" s="173">
        <v>89592.114709699614</v>
      </c>
      <c r="J395" s="168">
        <f>IFERROR(MIN('MP Calculations'!$E$30/I395,1),"-")</f>
        <v>0.31014580161562261</v>
      </c>
      <c r="K395" s="12"/>
      <c r="L395" s="159">
        <v>1</v>
      </c>
      <c r="M395" s="159" t="s">
        <v>409</v>
      </c>
      <c r="N395" s="159">
        <v>5080.03</v>
      </c>
      <c r="O395" s="185">
        <f t="shared" si="19"/>
        <v>5080.03</v>
      </c>
      <c r="P395" s="215">
        <f t="shared" si="18"/>
        <v>1575.5499765814113</v>
      </c>
      <c r="Q395" s="215" cm="1">
        <f t="array" ref="Q395">IF(P395="-",0,P395/(1+'General inputs'!$H$32)^IFERROR(INDEX('MP Calculations'!$C$40:$C$130,MATCH(F395,'MP Calculations'!$D$40:$D$130,0),0),-1))</f>
        <v>2689.7538022819681</v>
      </c>
    </row>
    <row r="396" spans="3:17" x14ac:dyDescent="0.25">
      <c r="C396" s="159"/>
      <c r="D396" s="165" t="s">
        <v>644</v>
      </c>
      <c r="E396" s="161">
        <v>40299</v>
      </c>
      <c r="F396" s="172" t="str">
        <f t="shared" si="17"/>
        <v>2009-10</v>
      </c>
      <c r="G396" s="68"/>
      <c r="H396" s="167" t="s">
        <v>279</v>
      </c>
      <c r="I396" s="173">
        <v>89592.114709699614</v>
      </c>
      <c r="J396" s="168">
        <f>IFERROR(MIN('MP Calculations'!$E$30/I396,1),"-")</f>
        <v>0.31014580161562261</v>
      </c>
      <c r="K396" s="12"/>
      <c r="L396" s="159">
        <v>1</v>
      </c>
      <c r="M396" s="159" t="s">
        <v>409</v>
      </c>
      <c r="N396" s="159">
        <v>2375.5100000000002</v>
      </c>
      <c r="O396" s="185">
        <f t="shared" si="19"/>
        <v>2375.5100000000002</v>
      </c>
      <c r="P396" s="215">
        <f t="shared" si="18"/>
        <v>736.75445319592768</v>
      </c>
      <c r="Q396" s="215" cm="1">
        <f t="array" ref="Q396">IF(P396="-",0,P396/(1+'General inputs'!$H$32)^IFERROR(INDEX('MP Calculations'!$C$40:$C$130,MATCH(F396,'MP Calculations'!$D$40:$D$130,0),0),-1))</f>
        <v>1257.7754570069148</v>
      </c>
    </row>
    <row r="397" spans="3:17" x14ac:dyDescent="0.25">
      <c r="C397" s="159"/>
      <c r="D397" s="165" t="s">
        <v>645</v>
      </c>
      <c r="E397" s="161">
        <v>40299</v>
      </c>
      <c r="F397" s="172" t="str">
        <f t="shared" si="17"/>
        <v>2009-10</v>
      </c>
      <c r="G397" s="68"/>
      <c r="H397" s="167" t="s">
        <v>279</v>
      </c>
      <c r="I397" s="173">
        <v>89592.114709699614</v>
      </c>
      <c r="J397" s="168">
        <f>IFERROR(MIN('MP Calculations'!$E$30/I397,1),"-")</f>
        <v>0.31014580161562261</v>
      </c>
      <c r="K397" s="12"/>
      <c r="L397" s="159">
        <v>1</v>
      </c>
      <c r="M397" s="159" t="s">
        <v>409</v>
      </c>
      <c r="N397" s="159">
        <v>16404.63</v>
      </c>
      <c r="O397" s="185">
        <f t="shared" si="19"/>
        <v>16404.63</v>
      </c>
      <c r="P397" s="215">
        <f t="shared" si="18"/>
        <v>5087.8271215576915</v>
      </c>
      <c r="Q397" s="215" cm="1">
        <f t="array" ref="Q397">IF(P397="-",0,P397/(1+'General inputs'!$H$32)^IFERROR(INDEX('MP Calculations'!$C$40:$C$130,MATCH(F397,'MP Calculations'!$D$40:$D$130,0),0),-1))</f>
        <v>8685.8573507496694</v>
      </c>
    </row>
    <row r="398" spans="3:17" x14ac:dyDescent="0.25">
      <c r="C398" s="159"/>
      <c r="D398" s="165" t="s">
        <v>306</v>
      </c>
      <c r="E398" s="161">
        <v>40308</v>
      </c>
      <c r="F398" s="172" t="str">
        <f t="shared" si="17"/>
        <v>2009-10</v>
      </c>
      <c r="G398" s="68"/>
      <c r="H398" s="167" t="s">
        <v>279</v>
      </c>
      <c r="I398" s="173">
        <v>89592.114709699614</v>
      </c>
      <c r="J398" s="168">
        <f>IFERROR(MIN('MP Calculations'!$E$30/I398,1),"-")</f>
        <v>0.31014580161562261</v>
      </c>
      <c r="K398" s="12"/>
      <c r="L398" s="159">
        <v>12.598191</v>
      </c>
      <c r="M398" s="159" t="s">
        <v>408</v>
      </c>
      <c r="N398" s="159">
        <v>2321</v>
      </c>
      <c r="O398" s="185">
        <f t="shared" si="19"/>
        <v>29240.401311000001</v>
      </c>
      <c r="P398" s="215">
        <f t="shared" si="18"/>
        <v>9068.7877041625979</v>
      </c>
      <c r="Q398" s="215" cm="1">
        <f t="array" ref="Q398">IF(P398="-",0,P398/(1+'General inputs'!$H$32)^IFERROR(INDEX('MP Calculations'!$C$40:$C$130,MATCH(F398,'MP Calculations'!$D$40:$D$130,0),0),-1))</f>
        <v>15482.089792090381</v>
      </c>
    </row>
    <row r="399" spans="3:17" x14ac:dyDescent="0.25">
      <c r="C399" s="159"/>
      <c r="D399" s="165" t="s">
        <v>306</v>
      </c>
      <c r="E399" s="161">
        <v>40308</v>
      </c>
      <c r="F399" s="172" t="str">
        <f t="shared" si="17"/>
        <v>2009-10</v>
      </c>
      <c r="G399" s="68"/>
      <c r="H399" s="167" t="s">
        <v>279</v>
      </c>
      <c r="I399" s="173">
        <v>89592.114709699614</v>
      </c>
      <c r="J399" s="168">
        <f>IFERROR(MIN('MP Calculations'!$E$30/I399,1),"-")</f>
        <v>0.31014580161562261</v>
      </c>
      <c r="K399" s="12"/>
      <c r="L399" s="159">
        <v>17.748379</v>
      </c>
      <c r="M399" s="159" t="s">
        <v>408</v>
      </c>
      <c r="N399" s="159">
        <v>2321</v>
      </c>
      <c r="O399" s="185">
        <f t="shared" si="19"/>
        <v>41193.987658999999</v>
      </c>
      <c r="P399" s="215">
        <f t="shared" si="18"/>
        <v>12776.14232424462</v>
      </c>
      <c r="Q399" s="215" cm="1">
        <f t="array" ref="Q399">IF(P399="-",0,P399/(1+'General inputs'!$H$32)^IFERROR(INDEX('MP Calculations'!$C$40:$C$130,MATCH(F399,'MP Calculations'!$D$40:$D$130,0),0),-1))</f>
        <v>21811.226496093866</v>
      </c>
    </row>
    <row r="400" spans="3:17" x14ac:dyDescent="0.25">
      <c r="C400" s="159"/>
      <c r="D400" s="165" t="s">
        <v>306</v>
      </c>
      <c r="E400" s="161">
        <v>40308</v>
      </c>
      <c r="F400" s="172" t="str">
        <f t="shared" si="17"/>
        <v>2009-10</v>
      </c>
      <c r="G400" s="68"/>
      <c r="H400" s="167" t="s">
        <v>279</v>
      </c>
      <c r="I400" s="173">
        <v>89592.114709699614</v>
      </c>
      <c r="J400" s="168">
        <f>IFERROR(MIN('MP Calculations'!$E$30/I400,1),"-")</f>
        <v>0.31014580161562261</v>
      </c>
      <c r="K400" s="12"/>
      <c r="L400" s="159">
        <v>15.296564999999999</v>
      </c>
      <c r="M400" s="159" t="s">
        <v>408</v>
      </c>
      <c r="N400" s="159">
        <v>2321</v>
      </c>
      <c r="O400" s="185">
        <f t="shared" si="19"/>
        <v>35503.327364999997</v>
      </c>
      <c r="P400" s="215">
        <f t="shared" si="18"/>
        <v>11011.207925639794</v>
      </c>
      <c r="Q400" s="215" cm="1">
        <f t="array" ref="Q400">IF(P400="-",0,P400/(1+'General inputs'!$H$32)^IFERROR(INDEX('MP Calculations'!$C$40:$C$130,MATCH(F400,'MP Calculations'!$D$40:$D$130,0),0),-1))</f>
        <v>18798.158627738456</v>
      </c>
    </row>
    <row r="401" spans="3:17" x14ac:dyDescent="0.25">
      <c r="C401" s="159"/>
      <c r="D401" s="165" t="s">
        <v>306</v>
      </c>
      <c r="E401" s="161">
        <v>40308</v>
      </c>
      <c r="F401" s="172" t="str">
        <f t="shared" si="17"/>
        <v>2009-10</v>
      </c>
      <c r="G401" s="68"/>
      <c r="H401" s="167" t="s">
        <v>279</v>
      </c>
      <c r="I401" s="173">
        <v>89592.114709699614</v>
      </c>
      <c r="J401" s="168">
        <f>IFERROR(MIN('MP Calculations'!$E$30/I401,1),"-")</f>
        <v>0.31014580161562261</v>
      </c>
      <c r="K401" s="12"/>
      <c r="L401" s="159">
        <v>32.393683000000003</v>
      </c>
      <c r="M401" s="159" t="s">
        <v>408</v>
      </c>
      <c r="N401" s="159">
        <v>2321</v>
      </c>
      <c r="O401" s="185">
        <f t="shared" si="19"/>
        <v>75185.738243</v>
      </c>
      <c r="P401" s="215">
        <f t="shared" si="18"/>
        <v>23318.541057437607</v>
      </c>
      <c r="Q401" s="215" cm="1">
        <f t="array" ref="Q401">IF(P401="-",0,P401/(1+'General inputs'!$H$32)^IFERROR(INDEX('MP Calculations'!$C$40:$C$130,MATCH(F401,'MP Calculations'!$D$40:$D$130,0),0),-1))</f>
        <v>39809.041544338521</v>
      </c>
    </row>
    <row r="402" spans="3:17" x14ac:dyDescent="0.25">
      <c r="C402" s="159"/>
      <c r="D402" s="165" t="s">
        <v>306</v>
      </c>
      <c r="E402" s="161">
        <v>40308</v>
      </c>
      <c r="F402" s="172" t="str">
        <f t="shared" si="17"/>
        <v>2009-10</v>
      </c>
      <c r="G402" s="68"/>
      <c r="H402" s="167" t="s">
        <v>279</v>
      </c>
      <c r="I402" s="173">
        <v>89592.114709699614</v>
      </c>
      <c r="J402" s="168">
        <f>IFERROR(MIN('MP Calculations'!$E$30/I402,1),"-")</f>
        <v>0.31014580161562261</v>
      </c>
      <c r="K402" s="12"/>
      <c r="L402" s="159">
        <v>60.971212000000001</v>
      </c>
      <c r="M402" s="159" t="s">
        <v>408</v>
      </c>
      <c r="N402" s="159">
        <v>2321</v>
      </c>
      <c r="O402" s="185">
        <f t="shared" si="19"/>
        <v>141514.18305200001</v>
      </c>
      <c r="P402" s="215">
        <f t="shared" si="18"/>
        <v>43890.029742642495</v>
      </c>
      <c r="Q402" s="215" cm="1">
        <f t="array" ref="Q402">IF(P402="-",0,P402/(1+'General inputs'!$H$32)^IFERROR(INDEX('MP Calculations'!$C$40:$C$130,MATCH(F402,'MP Calculations'!$D$40:$D$130,0),0),-1))</f>
        <v>74928.359072868363</v>
      </c>
    </row>
    <row r="403" spans="3:17" x14ac:dyDescent="0.25">
      <c r="C403" s="159"/>
      <c r="D403" s="165" t="s">
        <v>306</v>
      </c>
      <c r="E403" s="161">
        <v>40308</v>
      </c>
      <c r="F403" s="172" t="str">
        <f t="shared" si="17"/>
        <v>2009-10</v>
      </c>
      <c r="G403" s="68"/>
      <c r="H403" s="167" t="s">
        <v>279</v>
      </c>
      <c r="I403" s="173">
        <v>89592.114709699614</v>
      </c>
      <c r="J403" s="168">
        <f>IFERROR(MIN('MP Calculations'!$E$30/I403,1),"-")</f>
        <v>0.31014580161562261</v>
      </c>
      <c r="K403" s="12"/>
      <c r="L403" s="159">
        <v>65.743939999999995</v>
      </c>
      <c r="M403" s="159" t="s">
        <v>408</v>
      </c>
      <c r="N403" s="159">
        <v>2321</v>
      </c>
      <c r="O403" s="185">
        <f t="shared" si="19"/>
        <v>152591.68474</v>
      </c>
      <c r="P403" s="215">
        <f t="shared" si="18"/>
        <v>47325.670383565666</v>
      </c>
      <c r="Q403" s="215" cm="1">
        <f t="array" ref="Q403">IF(P403="-",0,P403/(1+'General inputs'!$H$32)^IFERROR(INDEX('MP Calculations'!$C$40:$C$130,MATCH(F403,'MP Calculations'!$D$40:$D$130,0),0),-1))</f>
        <v>80793.630003371305</v>
      </c>
    </row>
    <row r="404" spans="3:17" x14ac:dyDescent="0.25">
      <c r="C404" s="159"/>
      <c r="D404" s="165" t="s">
        <v>306</v>
      </c>
      <c r="E404" s="161">
        <v>40308</v>
      </c>
      <c r="F404" s="172" t="str">
        <f t="shared" si="17"/>
        <v>2009-10</v>
      </c>
      <c r="G404" s="68"/>
      <c r="H404" s="167" t="s">
        <v>279</v>
      </c>
      <c r="I404" s="173">
        <v>89592.114709699614</v>
      </c>
      <c r="J404" s="168">
        <f>IFERROR(MIN('MP Calculations'!$E$30/I404,1),"-")</f>
        <v>0.31014580161562261</v>
      </c>
      <c r="K404" s="12"/>
      <c r="L404" s="159">
        <v>16.909351999999998</v>
      </c>
      <c r="M404" s="159" t="s">
        <v>408</v>
      </c>
      <c r="N404" s="159">
        <v>2321</v>
      </c>
      <c r="O404" s="185">
        <f t="shared" si="19"/>
        <v>39246.605991999997</v>
      </c>
      <c r="P404" s="215">
        <f t="shared" si="18"/>
        <v>12172.170076081336</v>
      </c>
      <c r="Q404" s="215" cm="1">
        <f t="array" ref="Q404">IF(P404="-",0,P404/(1+'General inputs'!$H$32)^IFERROR(INDEX('MP Calculations'!$C$40:$C$130,MATCH(F404,'MP Calculations'!$D$40:$D$130,0),0),-1))</f>
        <v>20780.134702677791</v>
      </c>
    </row>
    <row r="405" spans="3:17" x14ac:dyDescent="0.25">
      <c r="C405" s="159"/>
      <c r="D405" s="165" t="s">
        <v>306</v>
      </c>
      <c r="E405" s="161">
        <v>40308</v>
      </c>
      <c r="F405" s="172" t="str">
        <f t="shared" si="17"/>
        <v>2009-10</v>
      </c>
      <c r="G405" s="68"/>
      <c r="H405" s="167" t="s">
        <v>279</v>
      </c>
      <c r="I405" s="173">
        <v>89592.114709699614</v>
      </c>
      <c r="J405" s="168">
        <f>IFERROR(MIN('MP Calculations'!$E$30/I405,1),"-")</f>
        <v>0.31014580161562261</v>
      </c>
      <c r="K405" s="12"/>
      <c r="L405" s="159">
        <v>58.061459999999997</v>
      </c>
      <c r="M405" s="159" t="s">
        <v>408</v>
      </c>
      <c r="N405" s="159">
        <v>2321</v>
      </c>
      <c r="O405" s="185">
        <f t="shared" si="19"/>
        <v>134760.64866000001</v>
      </c>
      <c r="P405" s="215">
        <f t="shared" si="18"/>
        <v>41795.449404896979</v>
      </c>
      <c r="Q405" s="215" cm="1">
        <f t="array" ref="Q405">IF(P405="-",0,P405/(1+'General inputs'!$H$32)^IFERROR(INDEX('MP Calculations'!$C$40:$C$130,MATCH(F405,'MP Calculations'!$D$40:$D$130,0),0),-1))</f>
        <v>71352.524912494497</v>
      </c>
    </row>
    <row r="406" spans="3:17" x14ac:dyDescent="0.25">
      <c r="C406" s="159"/>
      <c r="D406" s="165" t="s">
        <v>306</v>
      </c>
      <c r="E406" s="161">
        <v>40308</v>
      </c>
      <c r="F406" s="172" t="str">
        <f t="shared" ref="F406:F469" si="20">IF(E406="","-",IF(OR(E406&lt;$E$15,E406&gt;$E$16),"ERROR - date outside of range",IF(MONTH(E406)&gt;=7,YEAR(E406)&amp;"-"&amp;IF(YEAR(E406)=1999,"00",IF(AND(YEAR(E406)&gt;=2000,YEAR(E406)&lt;2009),"0","")&amp;RIGHT(YEAR(E406),2)+1),RIGHT(YEAR(E406),4)-1&amp;"-"&amp;RIGHT(YEAR(E406),2))))</f>
        <v>2009-10</v>
      </c>
      <c r="G406" s="68"/>
      <c r="H406" s="167" t="s">
        <v>279</v>
      </c>
      <c r="I406" s="173">
        <v>89592.114709699614</v>
      </c>
      <c r="J406" s="168">
        <f>IFERROR(MIN('MP Calculations'!$E$30/I406,1),"-")</f>
        <v>0.31014580161562261</v>
      </c>
      <c r="K406" s="12"/>
      <c r="L406" s="159">
        <v>7.5019640000000001</v>
      </c>
      <c r="M406" s="159" t="s">
        <v>408</v>
      </c>
      <c r="N406" s="159">
        <v>2321</v>
      </c>
      <c r="O406" s="185">
        <f t="shared" si="19"/>
        <v>17412.058443999998</v>
      </c>
      <c r="P406" s="215">
        <f t="shared" si="18"/>
        <v>5400.27682389245</v>
      </c>
      <c r="Q406" s="215" cm="1">
        <f t="array" ref="Q406">IF(P406="-",0,P406/(1+'General inputs'!$H$32)^IFERROR(INDEX('MP Calculations'!$C$40:$C$130,MATCH(F406,'MP Calculations'!$D$40:$D$130,0),0),-1))</f>
        <v>9219.2665014389368</v>
      </c>
    </row>
    <row r="407" spans="3:17" x14ac:dyDescent="0.25">
      <c r="C407" s="159"/>
      <c r="D407" s="165" t="s">
        <v>306</v>
      </c>
      <c r="E407" s="161">
        <v>40308</v>
      </c>
      <c r="F407" s="172" t="str">
        <f t="shared" si="20"/>
        <v>2009-10</v>
      </c>
      <c r="G407" s="68"/>
      <c r="H407" s="167" t="s">
        <v>279</v>
      </c>
      <c r="I407" s="173">
        <v>89592.114709699614</v>
      </c>
      <c r="J407" s="168">
        <f>IFERROR(MIN('MP Calculations'!$E$30/I407,1),"-")</f>
        <v>0.31014580161562261</v>
      </c>
      <c r="K407" s="12"/>
      <c r="L407" s="159">
        <v>35.505951000000003</v>
      </c>
      <c r="M407" s="159" t="s">
        <v>408</v>
      </c>
      <c r="N407" s="159">
        <v>2321</v>
      </c>
      <c r="O407" s="185">
        <f t="shared" si="19"/>
        <v>82409.312271000003</v>
      </c>
      <c r="P407" s="215">
        <f t="shared" ref="P407:P470" si="21">IF(O407="-","-",IF(OR(E407&lt;$E$15,E407&gt;$E$16),0,O407*J407))</f>
        <v>25558.902214881462</v>
      </c>
      <c r="Q407" s="215" cm="1">
        <f t="array" ref="Q407">IF(P407="-",0,P407/(1+'General inputs'!$H$32)^IFERROR(INDEX('MP Calculations'!$C$40:$C$130,MATCH(F407,'MP Calculations'!$D$40:$D$130,0),0),-1))</f>
        <v>43633.750396033945</v>
      </c>
    </row>
    <row r="408" spans="3:17" x14ac:dyDescent="0.25">
      <c r="C408" s="159"/>
      <c r="D408" s="165" t="s">
        <v>306</v>
      </c>
      <c r="E408" s="161">
        <v>40308</v>
      </c>
      <c r="F408" s="172" t="str">
        <f t="shared" si="20"/>
        <v>2009-10</v>
      </c>
      <c r="G408" s="68"/>
      <c r="H408" s="167" t="s">
        <v>279</v>
      </c>
      <c r="I408" s="173">
        <v>89592.114709699614</v>
      </c>
      <c r="J408" s="168">
        <f>IFERROR(MIN('MP Calculations'!$E$30/I408,1),"-")</f>
        <v>0.31014580161562261</v>
      </c>
      <c r="K408" s="12"/>
      <c r="L408" s="159">
        <v>38.243229999999997</v>
      </c>
      <c r="M408" s="159" t="s">
        <v>408</v>
      </c>
      <c r="N408" s="159">
        <v>2321</v>
      </c>
      <c r="O408" s="185">
        <f t="shared" ref="O408:O409" si="22">IF(N408="","-",L408*N408)</f>
        <v>88762.536829999997</v>
      </c>
      <c r="P408" s="215">
        <f t="shared" si="21"/>
        <v>27529.328138576573</v>
      </c>
      <c r="Q408" s="215" cm="1">
        <f t="array" ref="Q408">IF(P408="-",0,P408/(1+'General inputs'!$H$32)^IFERROR(INDEX('MP Calculations'!$C$40:$C$130,MATCH(F408,'MP Calculations'!$D$40:$D$130,0),0),-1))</f>
        <v>46997.63012003585</v>
      </c>
    </row>
    <row r="409" spans="3:17" x14ac:dyDescent="0.25">
      <c r="C409" s="159"/>
      <c r="D409" s="165" t="s">
        <v>306</v>
      </c>
      <c r="E409" s="161">
        <v>40308</v>
      </c>
      <c r="F409" s="172" t="str">
        <f t="shared" si="20"/>
        <v>2009-10</v>
      </c>
      <c r="G409" s="68"/>
      <c r="H409" s="167" t="s">
        <v>279</v>
      </c>
      <c r="I409" s="173">
        <v>89592.114709699614</v>
      </c>
      <c r="J409" s="168">
        <f>IFERROR(MIN('MP Calculations'!$E$30/I409,1),"-")</f>
        <v>0.31014580161562261</v>
      </c>
      <c r="K409" s="12"/>
      <c r="L409" s="159">
        <v>41.281306999999998</v>
      </c>
      <c r="M409" s="159" t="s">
        <v>408</v>
      </c>
      <c r="N409" s="159">
        <v>2321</v>
      </c>
      <c r="O409" s="185">
        <f t="shared" si="22"/>
        <v>95813.913546999989</v>
      </c>
      <c r="P409" s="215">
        <f t="shared" si="21"/>
        <v>29716.283022964275</v>
      </c>
      <c r="Q409" s="215" cm="1">
        <f t="array" ref="Q409">IF(P409="-",0,P409/(1+'General inputs'!$H$32)^IFERROR(INDEX('MP Calculations'!$C$40:$C$130,MATCH(F409,'MP Calculations'!$D$40:$D$130,0),0),-1))</f>
        <v>50731.164633783461</v>
      </c>
    </row>
    <row r="410" spans="3:17" x14ac:dyDescent="0.25">
      <c r="C410" s="159"/>
      <c r="D410" s="165" t="s">
        <v>306</v>
      </c>
      <c r="E410" s="161">
        <v>40308</v>
      </c>
      <c r="F410" s="172" t="str">
        <f t="shared" si="20"/>
        <v>2009-10</v>
      </c>
      <c r="G410" s="68"/>
      <c r="H410" s="167" t="s">
        <v>279</v>
      </c>
      <c r="I410" s="173">
        <v>89592.114709699614</v>
      </c>
      <c r="J410" s="168">
        <f>IFERROR(MIN('MP Calculations'!$E$30/I410,1),"-")</f>
        <v>0.31014580161562261</v>
      </c>
      <c r="K410" s="12"/>
      <c r="L410" s="159">
        <v>32.731653000000001</v>
      </c>
      <c r="M410" s="159" t="s">
        <v>408</v>
      </c>
      <c r="N410" s="159">
        <v>2321</v>
      </c>
      <c r="O410" s="185">
        <f t="shared" ref="O410:O472" si="23">IF(N410="","-",L410*N410)</f>
        <v>75970.166613000009</v>
      </c>
      <c r="P410" s="215">
        <f t="shared" si="21"/>
        <v>23561.828223061297</v>
      </c>
      <c r="Q410" s="215" cm="1">
        <f t="array" ref="Q410">IF(P410="-",0,P410/(1+'General inputs'!$H$32)^IFERROR(INDEX('MP Calculations'!$C$40:$C$130,MATCH(F410,'MP Calculations'!$D$40:$D$130,0),0),-1))</f>
        <v>40224.377514957865</v>
      </c>
    </row>
    <row r="411" spans="3:17" x14ac:dyDescent="0.25">
      <c r="C411" s="159"/>
      <c r="D411" s="165" t="s">
        <v>306</v>
      </c>
      <c r="E411" s="161">
        <v>40308</v>
      </c>
      <c r="F411" s="172" t="str">
        <f t="shared" si="20"/>
        <v>2009-10</v>
      </c>
      <c r="G411" s="68"/>
      <c r="H411" s="167" t="s">
        <v>279</v>
      </c>
      <c r="I411" s="173">
        <v>89592.114709699614</v>
      </c>
      <c r="J411" s="168">
        <f>IFERROR(MIN('MP Calculations'!$E$30/I411,1),"-")</f>
        <v>0.31014580161562261</v>
      </c>
      <c r="K411" s="12"/>
      <c r="L411" s="159">
        <v>14.204825</v>
      </c>
      <c r="M411" s="159" t="s">
        <v>408</v>
      </c>
      <c r="N411" s="159">
        <v>2321</v>
      </c>
      <c r="O411" s="185">
        <f t="shared" si="23"/>
        <v>32969.398824999997</v>
      </c>
      <c r="P411" s="215">
        <f t="shared" si="21"/>
        <v>10225.32062736479</v>
      </c>
      <c r="Q411" s="215" cm="1">
        <f t="array" ref="Q411">IF(P411="-",0,P411/(1+'General inputs'!$H$32)^IFERROR(INDEX('MP Calculations'!$C$40:$C$130,MATCH(F411,'MP Calculations'!$D$40:$D$130,0),0),-1))</f>
        <v>17456.50436089834</v>
      </c>
    </row>
    <row r="412" spans="3:17" x14ac:dyDescent="0.25">
      <c r="C412" s="159"/>
      <c r="D412" s="165" t="s">
        <v>306</v>
      </c>
      <c r="E412" s="161">
        <v>40308</v>
      </c>
      <c r="F412" s="172" t="str">
        <f t="shared" si="20"/>
        <v>2009-10</v>
      </c>
      <c r="G412" s="68"/>
      <c r="H412" s="167" t="s">
        <v>279</v>
      </c>
      <c r="I412" s="173">
        <v>89592.114709699614</v>
      </c>
      <c r="J412" s="168">
        <f>IFERROR(MIN('MP Calculations'!$E$30/I412,1),"-")</f>
        <v>0.31014580161562261</v>
      </c>
      <c r="K412" s="12"/>
      <c r="L412" s="159">
        <v>90.836509000000007</v>
      </c>
      <c r="M412" s="159" t="s">
        <v>408</v>
      </c>
      <c r="N412" s="159">
        <v>2321</v>
      </c>
      <c r="O412" s="185">
        <f t="shared" si="23"/>
        <v>210831.537389</v>
      </c>
      <c r="P412" s="215">
        <f t="shared" si="21"/>
        <v>65388.516169365517</v>
      </c>
      <c r="Q412" s="215" cm="1">
        <f t="array" ref="Q412">IF(P412="-",0,P412/(1+'General inputs'!$H$32)^IFERROR(INDEX('MP Calculations'!$C$40:$C$130,MATCH(F412,'MP Calculations'!$D$40:$D$130,0),0),-1))</f>
        <v>111630.23236733163</v>
      </c>
    </row>
    <row r="413" spans="3:17" x14ac:dyDescent="0.25">
      <c r="C413" s="159"/>
      <c r="D413" s="165" t="s">
        <v>306</v>
      </c>
      <c r="E413" s="161">
        <v>40308</v>
      </c>
      <c r="F413" s="172" t="str">
        <f t="shared" si="20"/>
        <v>2009-10</v>
      </c>
      <c r="G413" s="68"/>
      <c r="H413" s="167" t="s">
        <v>279</v>
      </c>
      <c r="I413" s="173">
        <v>89592.114709699614</v>
      </c>
      <c r="J413" s="168">
        <f>IFERROR(MIN('MP Calculations'!$E$30/I413,1),"-")</f>
        <v>0.31014580161562261</v>
      </c>
      <c r="K413" s="12"/>
      <c r="L413" s="159">
        <v>6.093769</v>
      </c>
      <c r="M413" s="159" t="s">
        <v>408</v>
      </c>
      <c r="N413" s="159">
        <v>2321</v>
      </c>
      <c r="O413" s="185">
        <f t="shared" si="23"/>
        <v>14143.637849000001</v>
      </c>
      <c r="P413" s="215">
        <f t="shared" si="21"/>
        <v>4386.5898984391652</v>
      </c>
      <c r="Q413" s="215" cm="1">
        <f t="array" ref="Q413">IF(P413="-",0,P413/(1+'General inputs'!$H$32)^IFERROR(INDEX('MP Calculations'!$C$40:$C$130,MATCH(F413,'MP Calculations'!$D$40:$D$130,0),0),-1))</f>
        <v>7488.7163427079968</v>
      </c>
    </row>
    <row r="414" spans="3:17" x14ac:dyDescent="0.25">
      <c r="C414" s="159"/>
      <c r="D414" s="165" t="s">
        <v>306</v>
      </c>
      <c r="E414" s="161">
        <v>40308</v>
      </c>
      <c r="F414" s="172" t="str">
        <f t="shared" si="20"/>
        <v>2009-10</v>
      </c>
      <c r="G414" s="68"/>
      <c r="H414" s="167" t="s">
        <v>279</v>
      </c>
      <c r="I414" s="173">
        <v>89592.114709699614</v>
      </c>
      <c r="J414" s="168">
        <f>IFERROR(MIN('MP Calculations'!$E$30/I414,1),"-")</f>
        <v>0.31014580161562261</v>
      </c>
      <c r="K414" s="12"/>
      <c r="L414" s="159">
        <v>57.632976999999997</v>
      </c>
      <c r="M414" s="159" t="s">
        <v>408</v>
      </c>
      <c r="N414" s="159">
        <v>2321</v>
      </c>
      <c r="O414" s="185">
        <f t="shared" si="23"/>
        <v>133766.13961699998</v>
      </c>
      <c r="P414" s="215">
        <f t="shared" si="21"/>
        <v>41487.006600541754</v>
      </c>
      <c r="Q414" s="215" cm="1">
        <f t="array" ref="Q414">IF(P414="-",0,P414/(1+'General inputs'!$H$32)^IFERROR(INDEX('MP Calculations'!$C$40:$C$130,MATCH(F414,'MP Calculations'!$D$40:$D$130,0),0),-1))</f>
        <v>70825.956274157099</v>
      </c>
    </row>
    <row r="415" spans="3:17" x14ac:dyDescent="0.25">
      <c r="C415" s="159"/>
      <c r="D415" s="165" t="s">
        <v>306</v>
      </c>
      <c r="E415" s="161">
        <v>40308</v>
      </c>
      <c r="F415" s="172" t="str">
        <f t="shared" si="20"/>
        <v>2009-10</v>
      </c>
      <c r="G415" s="68"/>
      <c r="H415" s="167" t="s">
        <v>279</v>
      </c>
      <c r="I415" s="173">
        <v>89592.114709699614</v>
      </c>
      <c r="J415" s="168">
        <f>IFERROR(MIN('MP Calculations'!$E$30/I415,1),"-")</f>
        <v>0.31014580161562261</v>
      </c>
      <c r="K415" s="12"/>
      <c r="L415" s="159">
        <v>2.9685419999999998</v>
      </c>
      <c r="M415" s="159" t="s">
        <v>408</v>
      </c>
      <c r="N415" s="159">
        <v>2321</v>
      </c>
      <c r="O415" s="185">
        <f t="shared" si="23"/>
        <v>6889.9859819999992</v>
      </c>
      <c r="P415" s="215">
        <f t="shared" si="21"/>
        <v>2136.9002255077926</v>
      </c>
      <c r="Q415" s="215" cm="1">
        <f t="array" ref="Q415">IF(P415="-",0,P415/(1+'General inputs'!$H$32)^IFERROR(INDEX('MP Calculations'!$C$40:$C$130,MATCH(F415,'MP Calculations'!$D$40:$D$130,0),0),-1))</f>
        <v>3648.081998089373</v>
      </c>
    </row>
    <row r="416" spans="3:17" x14ac:dyDescent="0.25">
      <c r="C416" s="159"/>
      <c r="D416" s="165" t="s">
        <v>306</v>
      </c>
      <c r="E416" s="161">
        <v>40308</v>
      </c>
      <c r="F416" s="172" t="str">
        <f t="shared" si="20"/>
        <v>2009-10</v>
      </c>
      <c r="G416" s="68"/>
      <c r="H416" s="167" t="s">
        <v>279</v>
      </c>
      <c r="I416" s="173">
        <v>89592.114709699614</v>
      </c>
      <c r="J416" s="168">
        <f>IFERROR(MIN('MP Calculations'!$E$30/I416,1),"-")</f>
        <v>0.31014580161562261</v>
      </c>
      <c r="K416" s="12"/>
      <c r="L416" s="159">
        <v>7.5472910000000004</v>
      </c>
      <c r="M416" s="159" t="s">
        <v>408</v>
      </c>
      <c r="N416" s="159">
        <v>2321</v>
      </c>
      <c r="O416" s="185">
        <f t="shared" si="23"/>
        <v>17517.262411</v>
      </c>
      <c r="P416" s="215">
        <f t="shared" si="21"/>
        <v>5432.9053925708085</v>
      </c>
      <c r="Q416" s="215" cm="1">
        <f t="array" ref="Q416">IF(P416="-",0,P416/(1+'General inputs'!$H$32)^IFERROR(INDEX('MP Calculations'!$C$40:$C$130,MATCH(F416,'MP Calculations'!$D$40:$D$130,0),0),-1))</f>
        <v>9274.9694737153604</v>
      </c>
    </row>
    <row r="417" spans="3:17" x14ac:dyDescent="0.25">
      <c r="C417" s="159"/>
      <c r="D417" s="165" t="s">
        <v>306</v>
      </c>
      <c r="E417" s="161">
        <v>40308</v>
      </c>
      <c r="F417" s="172" t="str">
        <f t="shared" si="20"/>
        <v>2009-10</v>
      </c>
      <c r="G417" s="68"/>
      <c r="H417" s="167" t="s">
        <v>279</v>
      </c>
      <c r="I417" s="173">
        <v>89592.114709699614</v>
      </c>
      <c r="J417" s="168">
        <f>IFERROR(MIN('MP Calculations'!$E$30/I417,1),"-")</f>
        <v>0.31014580161562261</v>
      </c>
      <c r="K417" s="12"/>
      <c r="L417" s="159">
        <v>47.454234999999997</v>
      </c>
      <c r="M417" s="159" t="s">
        <v>408</v>
      </c>
      <c r="N417" s="159">
        <v>2321</v>
      </c>
      <c r="O417" s="185">
        <f t="shared" si="23"/>
        <v>110141.27943499999</v>
      </c>
      <c r="P417" s="215">
        <f t="shared" si="21"/>
        <v>34159.855401338362</v>
      </c>
      <c r="Q417" s="215" cm="1">
        <f t="array" ref="Q417">IF(P417="-",0,P417/(1+'General inputs'!$H$32)^IFERROR(INDEX('MP Calculations'!$C$40:$C$130,MATCH(F417,'MP Calculations'!$D$40:$D$130,0),0),-1))</f>
        <v>58317.160557810086</v>
      </c>
    </row>
    <row r="418" spans="3:17" x14ac:dyDescent="0.25">
      <c r="C418" s="159"/>
      <c r="D418" s="165" t="s">
        <v>306</v>
      </c>
      <c r="E418" s="161">
        <v>40308</v>
      </c>
      <c r="F418" s="172" t="str">
        <f t="shared" si="20"/>
        <v>2009-10</v>
      </c>
      <c r="G418" s="68"/>
      <c r="H418" s="167" t="s">
        <v>279</v>
      </c>
      <c r="I418" s="173">
        <v>89592.114709699614</v>
      </c>
      <c r="J418" s="168">
        <f>IFERROR(MIN('MP Calculations'!$E$30/I418,1),"-")</f>
        <v>0.31014580161562261</v>
      </c>
      <c r="K418" s="12"/>
      <c r="L418" s="159">
        <v>2.4634429999999998</v>
      </c>
      <c r="M418" s="159" t="s">
        <v>408</v>
      </c>
      <c r="N418" s="159">
        <v>2321</v>
      </c>
      <c r="O418" s="185">
        <f t="shared" si="23"/>
        <v>5717.6512029999994</v>
      </c>
      <c r="P418" s="215">
        <f t="shared" si="21"/>
        <v>1773.3055157129638</v>
      </c>
      <c r="Q418" s="215" cm="1">
        <f t="array" ref="Q418">IF(P418="-",0,P418/(1+'General inputs'!$H$32)^IFERROR(INDEX('MP Calculations'!$C$40:$C$130,MATCH(F418,'MP Calculations'!$D$40:$D$130,0),0),-1))</f>
        <v>3027.3589060283734</v>
      </c>
    </row>
    <row r="419" spans="3:17" x14ac:dyDescent="0.25">
      <c r="C419" s="159"/>
      <c r="D419" s="165" t="s">
        <v>306</v>
      </c>
      <c r="E419" s="161">
        <v>40308</v>
      </c>
      <c r="F419" s="172" t="str">
        <f t="shared" si="20"/>
        <v>2009-10</v>
      </c>
      <c r="G419" s="68"/>
      <c r="H419" s="167" t="s">
        <v>279</v>
      </c>
      <c r="I419" s="173">
        <v>89592.114709699614</v>
      </c>
      <c r="J419" s="168">
        <f>IFERROR(MIN('MP Calculations'!$E$30/I419,1),"-")</f>
        <v>0.31014580161562261</v>
      </c>
      <c r="K419" s="12"/>
      <c r="L419" s="159">
        <v>2.9362430000000002</v>
      </c>
      <c r="M419" s="159" t="s">
        <v>408</v>
      </c>
      <c r="N419" s="159">
        <v>2321</v>
      </c>
      <c r="O419" s="185">
        <f t="shared" si="23"/>
        <v>6815.0200030000005</v>
      </c>
      <c r="P419" s="215">
        <f t="shared" si="21"/>
        <v>2113.6498418569381</v>
      </c>
      <c r="Q419" s="215" cm="1">
        <f t="array" ref="Q419">IF(P419="-",0,P419/(1+'General inputs'!$H$32)^IFERROR(INDEX('MP Calculations'!$C$40:$C$130,MATCH(F419,'MP Calculations'!$D$40:$D$130,0),0),-1))</f>
        <v>3608.3893137829741</v>
      </c>
    </row>
    <row r="420" spans="3:17" x14ac:dyDescent="0.25">
      <c r="C420" s="159"/>
      <c r="D420" s="165" t="s">
        <v>306</v>
      </c>
      <c r="E420" s="161">
        <v>40308</v>
      </c>
      <c r="F420" s="172" t="str">
        <f t="shared" si="20"/>
        <v>2009-10</v>
      </c>
      <c r="G420" s="68"/>
      <c r="H420" s="167" t="s">
        <v>279</v>
      </c>
      <c r="I420" s="173">
        <v>89592.114709699614</v>
      </c>
      <c r="J420" s="168">
        <f>IFERROR(MIN('MP Calculations'!$E$30/I420,1),"-")</f>
        <v>0.31014580161562261</v>
      </c>
      <c r="K420" s="12"/>
      <c r="L420" s="159">
        <v>15.792083999999999</v>
      </c>
      <c r="M420" s="159" t="s">
        <v>408</v>
      </c>
      <c r="N420" s="159">
        <v>2321</v>
      </c>
      <c r="O420" s="185">
        <f t="shared" si="23"/>
        <v>36653.426963999998</v>
      </c>
      <c r="P420" s="215">
        <f t="shared" si="21"/>
        <v>11367.906487709455</v>
      </c>
      <c r="Q420" s="215" cm="1">
        <f t="array" ref="Q420">IF(P420="-",0,P420/(1+'General inputs'!$H$32)^IFERROR(INDEX('MP Calculations'!$C$40:$C$130,MATCH(F420,'MP Calculations'!$D$40:$D$130,0),0),-1))</f>
        <v>19407.108726342838</v>
      </c>
    </row>
    <row r="421" spans="3:17" x14ac:dyDescent="0.25">
      <c r="C421" s="159"/>
      <c r="D421" s="165" t="s">
        <v>306</v>
      </c>
      <c r="E421" s="161">
        <v>40308</v>
      </c>
      <c r="F421" s="172" t="str">
        <f t="shared" si="20"/>
        <v>2009-10</v>
      </c>
      <c r="G421" s="68"/>
      <c r="H421" s="167" t="s">
        <v>279</v>
      </c>
      <c r="I421" s="173">
        <v>89592.114709699614</v>
      </c>
      <c r="J421" s="168">
        <f>IFERROR(MIN('MP Calculations'!$E$30/I421,1),"-")</f>
        <v>0.31014580161562261</v>
      </c>
      <c r="K421" s="12"/>
      <c r="L421" s="159">
        <v>0.60019100000000003</v>
      </c>
      <c r="M421" s="159" t="s">
        <v>408</v>
      </c>
      <c r="N421" s="159">
        <v>2321</v>
      </c>
      <c r="O421" s="185">
        <f t="shared" si="23"/>
        <v>1393.0433110000001</v>
      </c>
      <c r="P421" s="215">
        <f t="shared" si="21"/>
        <v>432.0465343753761</v>
      </c>
      <c r="Q421" s="215" cm="1">
        <f t="array" ref="Q421">IF(P421="-",0,P421/(1+'General inputs'!$H$32)^IFERROR(INDEX('MP Calculations'!$C$40:$C$130,MATCH(F421,'MP Calculations'!$D$40:$D$130,0),0),-1))</f>
        <v>737.58295571201597</v>
      </c>
    </row>
    <row r="422" spans="3:17" x14ac:dyDescent="0.25">
      <c r="C422" s="159"/>
      <c r="D422" s="165" t="s">
        <v>306</v>
      </c>
      <c r="E422" s="161">
        <v>40308</v>
      </c>
      <c r="F422" s="172" t="str">
        <f t="shared" si="20"/>
        <v>2009-10</v>
      </c>
      <c r="G422" s="68"/>
      <c r="H422" s="167" t="s">
        <v>279</v>
      </c>
      <c r="I422" s="173">
        <v>89592.114709699614</v>
      </c>
      <c r="J422" s="168">
        <f>IFERROR(MIN('MP Calculations'!$E$30/I422,1),"-")</f>
        <v>0.31014580161562261</v>
      </c>
      <c r="K422" s="12"/>
      <c r="L422" s="159">
        <v>95.075642999999999</v>
      </c>
      <c r="M422" s="159" t="s">
        <v>408</v>
      </c>
      <c r="N422" s="159">
        <v>2321</v>
      </c>
      <c r="O422" s="185">
        <f t="shared" si="23"/>
        <v>220670.56740299999</v>
      </c>
      <c r="P422" s="215">
        <f t="shared" si="21"/>
        <v>68440.050020177718</v>
      </c>
      <c r="Q422" s="215" cm="1">
        <f t="array" ref="Q422">IF(P422="-",0,P422/(1+'General inputs'!$H$32)^IFERROR(INDEX('MP Calculations'!$C$40:$C$130,MATCH(F422,'MP Calculations'!$D$40:$D$130,0),0),-1))</f>
        <v>116839.76230926561</v>
      </c>
    </row>
    <row r="423" spans="3:17" x14ac:dyDescent="0.25">
      <c r="C423" s="159"/>
      <c r="D423" s="165" t="s">
        <v>306</v>
      </c>
      <c r="E423" s="161">
        <v>40308</v>
      </c>
      <c r="F423" s="172" t="str">
        <f t="shared" si="20"/>
        <v>2009-10</v>
      </c>
      <c r="G423" s="68"/>
      <c r="H423" s="167" t="s">
        <v>279</v>
      </c>
      <c r="I423" s="173">
        <v>89592.114709699614</v>
      </c>
      <c r="J423" s="168">
        <f>IFERROR(MIN('MP Calculations'!$E$30/I423,1),"-")</f>
        <v>0.31014580161562261</v>
      </c>
      <c r="K423" s="12"/>
      <c r="L423" s="159">
        <v>29.725836999999999</v>
      </c>
      <c r="M423" s="159" t="s">
        <v>408</v>
      </c>
      <c r="N423" s="159">
        <v>2321</v>
      </c>
      <c r="O423" s="185">
        <f t="shared" si="23"/>
        <v>68993.66767699999</v>
      </c>
      <c r="P423" s="215">
        <f t="shared" si="21"/>
        <v>21398.096368085033</v>
      </c>
      <c r="Q423" s="215" cm="1">
        <f t="array" ref="Q423">IF(P423="-",0,P423/(1+'General inputs'!$H$32)^IFERROR(INDEX('MP Calculations'!$C$40:$C$130,MATCH(F423,'MP Calculations'!$D$40:$D$130,0),0),-1))</f>
        <v>36530.488986795201</v>
      </c>
    </row>
    <row r="424" spans="3:17" x14ac:dyDescent="0.25">
      <c r="C424" s="159"/>
      <c r="D424" s="165" t="s">
        <v>306</v>
      </c>
      <c r="E424" s="161">
        <v>40308</v>
      </c>
      <c r="F424" s="172" t="str">
        <f t="shared" si="20"/>
        <v>2009-10</v>
      </c>
      <c r="G424" s="68"/>
      <c r="H424" s="167" t="s">
        <v>279</v>
      </c>
      <c r="I424" s="173">
        <v>89592.114709699614</v>
      </c>
      <c r="J424" s="168">
        <f>IFERROR(MIN('MP Calculations'!$E$30/I424,1),"-")</f>
        <v>0.31014580161562261</v>
      </c>
      <c r="K424" s="12"/>
      <c r="L424" s="159">
        <v>32.717623000000003</v>
      </c>
      <c r="M424" s="159" t="s">
        <v>408</v>
      </c>
      <c r="N424" s="159">
        <v>2321</v>
      </c>
      <c r="O424" s="185">
        <f t="shared" si="23"/>
        <v>75937.602983000004</v>
      </c>
      <c r="P424" s="215">
        <f t="shared" si="21"/>
        <v>23551.72874993143</v>
      </c>
      <c r="Q424" s="215" cm="1">
        <f t="array" ref="Q424">IF(P424="-",0,P424/(1+'General inputs'!$H$32)^IFERROR(INDEX('MP Calculations'!$C$40:$C$130,MATCH(F424,'MP Calculations'!$D$40:$D$130,0),0),-1))</f>
        <v>40207.135855438406</v>
      </c>
    </row>
    <row r="425" spans="3:17" x14ac:dyDescent="0.25">
      <c r="C425" s="159"/>
      <c r="D425" s="165" t="s">
        <v>306</v>
      </c>
      <c r="E425" s="161">
        <v>40308</v>
      </c>
      <c r="F425" s="172" t="str">
        <f t="shared" si="20"/>
        <v>2009-10</v>
      </c>
      <c r="G425" s="68"/>
      <c r="H425" s="167" t="s">
        <v>279</v>
      </c>
      <c r="I425" s="173">
        <v>89592.114709699614</v>
      </c>
      <c r="J425" s="168">
        <f>IFERROR(MIN('MP Calculations'!$E$30/I425,1),"-")</f>
        <v>0.31014580161562261</v>
      </c>
      <c r="K425" s="12"/>
      <c r="L425" s="159">
        <v>30.716908</v>
      </c>
      <c r="M425" s="159" t="s">
        <v>408</v>
      </c>
      <c r="N425" s="159">
        <v>2321</v>
      </c>
      <c r="O425" s="185">
        <f t="shared" si="23"/>
        <v>71293.943467999998</v>
      </c>
      <c r="P425" s="215">
        <f t="shared" si="21"/>
        <v>22111.517247221742</v>
      </c>
      <c r="Q425" s="215" cm="1">
        <f t="array" ref="Q425">IF(P425="-",0,P425/(1+'General inputs'!$H$32)^IFERROR(INDEX('MP Calculations'!$C$40:$C$130,MATCH(F425,'MP Calculations'!$D$40:$D$130,0),0),-1))</f>
        <v>37748.429738156796</v>
      </c>
    </row>
    <row r="426" spans="3:17" x14ac:dyDescent="0.25">
      <c r="C426" s="159"/>
      <c r="D426" s="165" t="s">
        <v>306</v>
      </c>
      <c r="E426" s="161">
        <v>40308</v>
      </c>
      <c r="F426" s="172" t="str">
        <f t="shared" si="20"/>
        <v>2009-10</v>
      </c>
      <c r="G426" s="68"/>
      <c r="H426" s="167" t="s">
        <v>279</v>
      </c>
      <c r="I426" s="173">
        <v>89592.114709699614</v>
      </c>
      <c r="J426" s="168">
        <f>IFERROR(MIN('MP Calculations'!$E$30/I426,1),"-")</f>
        <v>0.31014580161562261</v>
      </c>
      <c r="K426" s="12"/>
      <c r="L426" s="159">
        <v>76.691522000000006</v>
      </c>
      <c r="M426" s="159" t="s">
        <v>408</v>
      </c>
      <c r="N426" s="159">
        <v>2321</v>
      </c>
      <c r="O426" s="185">
        <f t="shared" si="23"/>
        <v>178001.02256200003</v>
      </c>
      <c r="P426" s="215">
        <f t="shared" si="21"/>
        <v>55206.269830892023</v>
      </c>
      <c r="Q426" s="215" cm="1">
        <f t="array" ref="Q426">IF(P426="-",0,P426/(1+'General inputs'!$H$32)^IFERROR(INDEX('MP Calculations'!$C$40:$C$130,MATCH(F426,'MP Calculations'!$D$40:$D$130,0),0),-1))</f>
        <v>94247.263745729448</v>
      </c>
    </row>
    <row r="427" spans="3:17" x14ac:dyDescent="0.25">
      <c r="C427" s="159"/>
      <c r="D427" s="165" t="s">
        <v>306</v>
      </c>
      <c r="E427" s="161">
        <v>40308</v>
      </c>
      <c r="F427" s="172" t="str">
        <f t="shared" si="20"/>
        <v>2009-10</v>
      </c>
      <c r="G427" s="68"/>
      <c r="H427" s="167" t="s">
        <v>279</v>
      </c>
      <c r="I427" s="173">
        <v>89592.114709699614</v>
      </c>
      <c r="J427" s="168">
        <f>IFERROR(MIN('MP Calculations'!$E$30/I427,1),"-")</f>
        <v>0.31014580161562261</v>
      </c>
      <c r="K427" s="12"/>
      <c r="L427" s="159">
        <v>12.487187</v>
      </c>
      <c r="M427" s="159" t="s">
        <v>408</v>
      </c>
      <c r="N427" s="159">
        <v>2321</v>
      </c>
      <c r="O427" s="185">
        <f t="shared" si="23"/>
        <v>28982.761027</v>
      </c>
      <c r="P427" s="215">
        <f t="shared" si="21"/>
        <v>8988.8816517529413</v>
      </c>
      <c r="Q427" s="215" cm="1">
        <f t="array" ref="Q427">IF(P427="-",0,P427/(1+'General inputs'!$H$32)^IFERROR(INDEX('MP Calculations'!$C$40:$C$130,MATCH(F427,'MP Calculations'!$D$40:$D$130,0),0),-1))</f>
        <v>15345.675453295136</v>
      </c>
    </row>
    <row r="428" spans="3:17" x14ac:dyDescent="0.25">
      <c r="C428" s="159"/>
      <c r="D428" s="165" t="s">
        <v>306</v>
      </c>
      <c r="E428" s="161">
        <v>40308</v>
      </c>
      <c r="F428" s="172" t="str">
        <f t="shared" si="20"/>
        <v>2009-10</v>
      </c>
      <c r="G428" s="68"/>
      <c r="H428" s="167" t="s">
        <v>279</v>
      </c>
      <c r="I428" s="173">
        <v>89592.114709699614</v>
      </c>
      <c r="J428" s="168">
        <f>IFERROR(MIN('MP Calculations'!$E$30/I428,1),"-")</f>
        <v>0.31014580161562261</v>
      </c>
      <c r="K428" s="12"/>
      <c r="L428" s="159">
        <v>24.722667999999999</v>
      </c>
      <c r="M428" s="159" t="s">
        <v>408</v>
      </c>
      <c r="N428" s="159">
        <v>2321</v>
      </c>
      <c r="O428" s="185">
        <f t="shared" si="23"/>
        <v>57381.312427999997</v>
      </c>
      <c r="P428" s="215">
        <f t="shared" si="21"/>
        <v>17796.573140738546</v>
      </c>
      <c r="Q428" s="215" cm="1">
        <f t="array" ref="Q428">IF(P428="-",0,P428/(1+'General inputs'!$H$32)^IFERROR(INDEX('MP Calculations'!$C$40:$C$130,MATCH(F428,'MP Calculations'!$D$40:$D$130,0),0),-1))</f>
        <v>30382.025949284263</v>
      </c>
    </row>
    <row r="429" spans="3:17" x14ac:dyDescent="0.25">
      <c r="C429" s="159"/>
      <c r="D429" s="165" t="s">
        <v>294</v>
      </c>
      <c r="E429" s="161">
        <v>40308</v>
      </c>
      <c r="F429" s="172" t="str">
        <f t="shared" si="20"/>
        <v>2009-10</v>
      </c>
      <c r="G429" s="68"/>
      <c r="H429" s="167" t="s">
        <v>279</v>
      </c>
      <c r="I429" s="173">
        <v>89592.114709699614</v>
      </c>
      <c r="J429" s="168">
        <f>IFERROR(MIN('MP Calculations'!$E$30/I429,1),"-")</f>
        <v>0.31014580161562261</v>
      </c>
      <c r="K429" s="12"/>
      <c r="L429" s="159">
        <v>11.789412</v>
      </c>
      <c r="M429" s="159" t="s">
        <v>408</v>
      </c>
      <c r="N429" s="159">
        <v>1908</v>
      </c>
      <c r="O429" s="185">
        <f t="shared" si="23"/>
        <v>22494.198096</v>
      </c>
      <c r="P429" s="215">
        <f t="shared" si="21"/>
        <v>6976.4811001845319</v>
      </c>
      <c r="Q429" s="215" cm="1">
        <f t="array" ref="Q429">IF(P429="-",0,P429/(1+'General inputs'!$H$32)^IFERROR(INDEX('MP Calculations'!$C$40:$C$130,MATCH(F429,'MP Calculations'!$D$40:$D$130,0),0),-1))</f>
        <v>11910.137313755984</v>
      </c>
    </row>
    <row r="430" spans="3:17" x14ac:dyDescent="0.25">
      <c r="C430" s="159"/>
      <c r="D430" s="165" t="s">
        <v>306</v>
      </c>
      <c r="E430" s="161">
        <v>40308</v>
      </c>
      <c r="F430" s="172" t="str">
        <f t="shared" si="20"/>
        <v>2009-10</v>
      </c>
      <c r="G430" s="68"/>
      <c r="H430" s="167" t="s">
        <v>279</v>
      </c>
      <c r="I430" s="173">
        <v>89592.114709699614</v>
      </c>
      <c r="J430" s="168">
        <f>IFERROR(MIN('MP Calculations'!$E$30/I430,1),"-")</f>
        <v>0.31014580161562261</v>
      </c>
      <c r="K430" s="12"/>
      <c r="L430" s="159">
        <v>60.417214000000001</v>
      </c>
      <c r="M430" s="159" t="s">
        <v>408</v>
      </c>
      <c r="N430" s="159">
        <v>2321</v>
      </c>
      <c r="O430" s="185">
        <f t="shared" si="23"/>
        <v>140228.35369399999</v>
      </c>
      <c r="P430" s="215">
        <f t="shared" si="21"/>
        <v>43491.235165664679</v>
      </c>
      <c r="Q430" s="215" cm="1">
        <f t="array" ref="Q430">IF(P430="-",0,P430/(1+'General inputs'!$H$32)^IFERROR(INDEX('MP Calculations'!$C$40:$C$130,MATCH(F430,'MP Calculations'!$D$40:$D$130,0),0),-1))</f>
        <v>74247.543328715998</v>
      </c>
    </row>
    <row r="431" spans="3:17" x14ac:dyDescent="0.25">
      <c r="C431" s="159"/>
      <c r="D431" s="165" t="s">
        <v>306</v>
      </c>
      <c r="E431" s="161">
        <v>40308</v>
      </c>
      <c r="F431" s="172" t="str">
        <f t="shared" si="20"/>
        <v>2009-10</v>
      </c>
      <c r="G431" s="68"/>
      <c r="H431" s="167" t="s">
        <v>279</v>
      </c>
      <c r="I431" s="173">
        <v>89592.114709699614</v>
      </c>
      <c r="J431" s="168">
        <f>IFERROR(MIN('MP Calculations'!$E$30/I431,1),"-")</f>
        <v>0.31014580161562261</v>
      </c>
      <c r="K431" s="12"/>
      <c r="L431" s="159">
        <v>3.0223650000000002</v>
      </c>
      <c r="M431" s="159" t="s">
        <v>408</v>
      </c>
      <c r="N431" s="159">
        <v>2321</v>
      </c>
      <c r="O431" s="185">
        <f t="shared" si="23"/>
        <v>7014.909165</v>
      </c>
      <c r="P431" s="215">
        <f t="shared" si="21"/>
        <v>2175.644626239703</v>
      </c>
      <c r="Q431" s="215" cm="1">
        <f t="array" ref="Q431">IF(P431="-",0,P431/(1+'General inputs'!$H$32)^IFERROR(INDEX('MP Calculations'!$C$40:$C$130,MATCH(F431,'MP Calculations'!$D$40:$D$130,0),0),-1))</f>
        <v>3714.225821347783</v>
      </c>
    </row>
    <row r="432" spans="3:17" x14ac:dyDescent="0.25">
      <c r="C432" s="159"/>
      <c r="D432" s="165" t="s">
        <v>306</v>
      </c>
      <c r="E432" s="161">
        <v>40308</v>
      </c>
      <c r="F432" s="172" t="str">
        <f t="shared" si="20"/>
        <v>2009-10</v>
      </c>
      <c r="G432" s="68"/>
      <c r="H432" s="167" t="s">
        <v>279</v>
      </c>
      <c r="I432" s="173">
        <v>89592.114709699614</v>
      </c>
      <c r="J432" s="168">
        <f>IFERROR(MIN('MP Calculations'!$E$30/I432,1),"-")</f>
        <v>0.31014580161562261</v>
      </c>
      <c r="K432" s="12"/>
      <c r="L432" s="159">
        <v>42.772326</v>
      </c>
      <c r="M432" s="159" t="s">
        <v>408</v>
      </c>
      <c r="N432" s="159">
        <v>2321</v>
      </c>
      <c r="O432" s="185">
        <f t="shared" si="23"/>
        <v>99274.568646</v>
      </c>
      <c r="P432" s="215">
        <f t="shared" si="21"/>
        <v>30789.590672758823</v>
      </c>
      <c r="Q432" s="215" cm="1">
        <f t="array" ref="Q432">IF(P432="-",0,P432/(1+'General inputs'!$H$32)^IFERROR(INDEX('MP Calculations'!$C$40:$C$130,MATCH(F432,'MP Calculations'!$D$40:$D$130,0),0),-1))</f>
        <v>52563.498342624109</v>
      </c>
    </row>
    <row r="433" spans="3:17" x14ac:dyDescent="0.25">
      <c r="C433" s="159"/>
      <c r="D433" s="165" t="s">
        <v>306</v>
      </c>
      <c r="E433" s="161">
        <v>40308</v>
      </c>
      <c r="F433" s="172" t="str">
        <f t="shared" si="20"/>
        <v>2009-10</v>
      </c>
      <c r="G433" s="68"/>
      <c r="H433" s="167" t="s">
        <v>279</v>
      </c>
      <c r="I433" s="173">
        <v>89592.114709699614</v>
      </c>
      <c r="J433" s="168">
        <f>IFERROR(MIN('MP Calculations'!$E$30/I433,1),"-")</f>
        <v>0.31014580161562261</v>
      </c>
      <c r="K433" s="12"/>
      <c r="L433" s="159">
        <v>18.029892</v>
      </c>
      <c r="M433" s="159" t="s">
        <v>408</v>
      </c>
      <c r="N433" s="159">
        <v>2321</v>
      </c>
      <c r="O433" s="185">
        <f t="shared" si="23"/>
        <v>41847.379332000004</v>
      </c>
      <c r="P433" s="215">
        <f t="shared" si="21"/>
        <v>12978.789008436179</v>
      </c>
      <c r="Q433" s="215" cm="1">
        <f t="array" ref="Q433">IF(P433="-",0,P433/(1+'General inputs'!$H$32)^IFERROR(INDEX('MP Calculations'!$C$40:$C$130,MATCH(F433,'MP Calculations'!$D$40:$D$130,0),0),-1))</f>
        <v>22157.181684711086</v>
      </c>
    </row>
    <row r="434" spans="3:17" x14ac:dyDescent="0.25">
      <c r="C434" s="159"/>
      <c r="D434" s="165" t="s">
        <v>306</v>
      </c>
      <c r="E434" s="161">
        <v>40308</v>
      </c>
      <c r="F434" s="172" t="str">
        <f t="shared" si="20"/>
        <v>2009-10</v>
      </c>
      <c r="G434" s="68"/>
      <c r="H434" s="167" t="s">
        <v>279</v>
      </c>
      <c r="I434" s="173">
        <v>89592.114709699614</v>
      </c>
      <c r="J434" s="168">
        <f>IFERROR(MIN('MP Calculations'!$E$30/I434,1),"-")</f>
        <v>0.31014580161562261</v>
      </c>
      <c r="K434" s="12"/>
      <c r="L434" s="159">
        <v>69.126729999999995</v>
      </c>
      <c r="M434" s="159" t="s">
        <v>408</v>
      </c>
      <c r="N434" s="159">
        <v>2321</v>
      </c>
      <c r="O434" s="185">
        <f t="shared" si="23"/>
        <v>160443.14032999999</v>
      </c>
      <c r="P434" s="215">
        <f t="shared" si="21"/>
        <v>49760.766371375677</v>
      </c>
      <c r="Q434" s="215" cm="1">
        <f t="array" ref="Q434">IF(P434="-",0,P434/(1+'General inputs'!$H$32)^IFERROR(INDEX('MP Calculations'!$C$40:$C$130,MATCH(F434,'MP Calculations'!$D$40:$D$130,0),0),-1))</f>
        <v>84950.787052965607</v>
      </c>
    </row>
    <row r="435" spans="3:17" x14ac:dyDescent="0.25">
      <c r="C435" s="159"/>
      <c r="D435" s="165" t="s">
        <v>306</v>
      </c>
      <c r="E435" s="161">
        <v>40308</v>
      </c>
      <c r="F435" s="172" t="str">
        <f t="shared" si="20"/>
        <v>2009-10</v>
      </c>
      <c r="G435" s="68"/>
      <c r="H435" s="167" t="s">
        <v>279</v>
      </c>
      <c r="I435" s="173">
        <v>89592.114709699614</v>
      </c>
      <c r="J435" s="168">
        <f>IFERROR(MIN('MP Calculations'!$E$30/I435,1),"-")</f>
        <v>0.31014580161562261</v>
      </c>
      <c r="K435" s="12"/>
      <c r="L435" s="159">
        <v>5.4637039999999999</v>
      </c>
      <c r="M435" s="159" t="s">
        <v>408</v>
      </c>
      <c r="N435" s="159">
        <v>2321</v>
      </c>
      <c r="O435" s="185">
        <f t="shared" si="23"/>
        <v>12681.256984</v>
      </c>
      <c r="P435" s="215">
        <f t="shared" si="21"/>
        <v>3933.0386127963925</v>
      </c>
      <c r="Q435" s="215" cm="1">
        <f t="array" ref="Q435">IF(P435="-",0,P435/(1+'General inputs'!$H$32)^IFERROR(INDEX('MP Calculations'!$C$40:$C$130,MATCH(F435,'MP Calculations'!$D$40:$D$130,0),0),-1))</f>
        <v>6714.4208184653953</v>
      </c>
    </row>
    <row r="436" spans="3:17" x14ac:dyDescent="0.25">
      <c r="C436" s="159"/>
      <c r="D436" s="165" t="s">
        <v>306</v>
      </c>
      <c r="E436" s="161">
        <v>40308</v>
      </c>
      <c r="F436" s="172" t="str">
        <f t="shared" si="20"/>
        <v>2009-10</v>
      </c>
      <c r="G436" s="68"/>
      <c r="H436" s="167" t="s">
        <v>279</v>
      </c>
      <c r="I436" s="173">
        <v>89592.114709699614</v>
      </c>
      <c r="J436" s="168">
        <f>IFERROR(MIN('MP Calculations'!$E$30/I436,1),"-")</f>
        <v>0.31014580161562261</v>
      </c>
      <c r="K436" s="12"/>
      <c r="L436" s="159">
        <v>5.122808</v>
      </c>
      <c r="M436" s="159" t="s">
        <v>408</v>
      </c>
      <c r="N436" s="159">
        <v>2321</v>
      </c>
      <c r="O436" s="185">
        <f t="shared" si="23"/>
        <v>11890.037367999999</v>
      </c>
      <c r="P436" s="215">
        <f t="shared" si="21"/>
        <v>3687.6451707380675</v>
      </c>
      <c r="Q436" s="215" cm="1">
        <f t="array" ref="Q436">IF(P436="-",0,P436/(1+'General inputs'!$H$32)^IFERROR(INDEX('MP Calculations'!$C$40:$C$130,MATCH(F436,'MP Calculations'!$D$40:$D$130,0),0),-1))</f>
        <v>6295.48904629553</v>
      </c>
    </row>
    <row r="437" spans="3:17" x14ac:dyDescent="0.25">
      <c r="C437" s="159"/>
      <c r="D437" s="165" t="s">
        <v>306</v>
      </c>
      <c r="E437" s="161">
        <v>40308</v>
      </c>
      <c r="F437" s="172" t="str">
        <f t="shared" si="20"/>
        <v>2009-10</v>
      </c>
      <c r="G437" s="68"/>
      <c r="H437" s="167" t="s">
        <v>279</v>
      </c>
      <c r="I437" s="173">
        <v>89592.114709699614</v>
      </c>
      <c r="J437" s="168">
        <f>IFERROR(MIN('MP Calculations'!$E$30/I437,1),"-")</f>
        <v>0.31014580161562261</v>
      </c>
      <c r="K437" s="12"/>
      <c r="L437" s="159">
        <v>41.305857000000003</v>
      </c>
      <c r="M437" s="159" t="s">
        <v>408</v>
      </c>
      <c r="N437" s="159">
        <v>2321</v>
      </c>
      <c r="O437" s="185">
        <f t="shared" si="23"/>
        <v>95870.894097000011</v>
      </c>
      <c r="P437" s="215">
        <f t="shared" si="21"/>
        <v>29733.95530132053</v>
      </c>
      <c r="Q437" s="215" cm="1">
        <f t="array" ref="Q437">IF(P437="-",0,P437/(1+'General inputs'!$H$32)^IFERROR(INDEX('MP Calculations'!$C$40:$C$130,MATCH(F437,'MP Calculations'!$D$40:$D$130,0),0),-1))</f>
        <v>50761.334465658205</v>
      </c>
    </row>
    <row r="438" spans="3:17" x14ac:dyDescent="0.25">
      <c r="C438" s="159"/>
      <c r="D438" s="165" t="s">
        <v>306</v>
      </c>
      <c r="E438" s="161">
        <v>40308</v>
      </c>
      <c r="F438" s="172" t="str">
        <f t="shared" si="20"/>
        <v>2009-10</v>
      </c>
      <c r="G438" s="68"/>
      <c r="H438" s="167" t="s">
        <v>279</v>
      </c>
      <c r="I438" s="173">
        <v>89592.114709699614</v>
      </c>
      <c r="J438" s="168">
        <f>IFERROR(MIN('MP Calculations'!$E$30/I438,1),"-")</f>
        <v>0.31014580161562261</v>
      </c>
      <c r="K438" s="12"/>
      <c r="L438" s="159">
        <v>7.489325</v>
      </c>
      <c r="M438" s="159" t="s">
        <v>408</v>
      </c>
      <c r="N438" s="159">
        <v>2321</v>
      </c>
      <c r="O438" s="185">
        <f t="shared" si="23"/>
        <v>17382.723324999999</v>
      </c>
      <c r="P438" s="215">
        <f t="shared" si="21"/>
        <v>5391.1786598947056</v>
      </c>
      <c r="Q438" s="215" cm="1">
        <f t="array" ref="Q438">IF(P438="-",0,P438/(1+'General inputs'!$H$32)^IFERROR(INDEX('MP Calculations'!$C$40:$C$130,MATCH(F438,'MP Calculations'!$D$40:$D$130,0),0),-1))</f>
        <v>9203.7342609067673</v>
      </c>
    </row>
    <row r="439" spans="3:17" x14ac:dyDescent="0.25">
      <c r="C439" s="159"/>
      <c r="D439" s="165" t="s">
        <v>306</v>
      </c>
      <c r="E439" s="161">
        <v>40308</v>
      </c>
      <c r="F439" s="172" t="str">
        <f t="shared" si="20"/>
        <v>2009-10</v>
      </c>
      <c r="G439" s="68"/>
      <c r="H439" s="167" t="s">
        <v>279</v>
      </c>
      <c r="I439" s="173">
        <v>89592.114709699614</v>
      </c>
      <c r="J439" s="168">
        <f>IFERROR(MIN('MP Calculations'!$E$30/I439,1),"-")</f>
        <v>0.31014580161562261</v>
      </c>
      <c r="K439" s="12"/>
      <c r="L439" s="159">
        <v>1.0290360000000001</v>
      </c>
      <c r="M439" s="159" t="s">
        <v>408</v>
      </c>
      <c r="N439" s="159">
        <v>2321</v>
      </c>
      <c r="O439" s="185">
        <f t="shared" si="23"/>
        <v>2388.3925560000002</v>
      </c>
      <c r="P439" s="215">
        <f t="shared" si="21"/>
        <v>740.7499238534059</v>
      </c>
      <c r="Q439" s="215" cm="1">
        <f t="array" ref="Q439">IF(P439="-",0,P439/(1+'General inputs'!$H$32)^IFERROR(INDEX('MP Calculations'!$C$40:$C$130,MATCH(F439,'MP Calculations'!$D$40:$D$130,0),0),-1))</f>
        <v>1264.5964608167569</v>
      </c>
    </row>
    <row r="440" spans="3:17" x14ac:dyDescent="0.25">
      <c r="C440" s="159"/>
      <c r="D440" s="165" t="s">
        <v>306</v>
      </c>
      <c r="E440" s="161">
        <v>40308</v>
      </c>
      <c r="F440" s="172" t="str">
        <f t="shared" si="20"/>
        <v>2009-10</v>
      </c>
      <c r="G440" s="68"/>
      <c r="H440" s="167" t="s">
        <v>279</v>
      </c>
      <c r="I440" s="173">
        <v>89592.114709699614</v>
      </c>
      <c r="J440" s="168">
        <f>IFERROR(MIN('MP Calculations'!$E$30/I440,1),"-")</f>
        <v>0.31014580161562261</v>
      </c>
      <c r="K440" s="12"/>
      <c r="L440" s="159">
        <v>8.6250140000000002</v>
      </c>
      <c r="M440" s="159" t="s">
        <v>408</v>
      </c>
      <c r="N440" s="159">
        <v>2321</v>
      </c>
      <c r="O440" s="185">
        <f t="shared" si="23"/>
        <v>20018.657493999999</v>
      </c>
      <c r="P440" s="215">
        <f t="shared" si="21"/>
        <v>6208.7025757452202</v>
      </c>
      <c r="Q440" s="215" cm="1">
        <f t="array" ref="Q440">IF(P440="-",0,P440/(1+'General inputs'!$H$32)^IFERROR(INDEX('MP Calculations'!$C$40:$C$130,MATCH(F440,'MP Calculations'!$D$40:$D$130,0),0),-1))</f>
        <v>10599.39805691441</v>
      </c>
    </row>
    <row r="441" spans="3:17" x14ac:dyDescent="0.25">
      <c r="C441" s="159"/>
      <c r="D441" s="165" t="s">
        <v>306</v>
      </c>
      <c r="E441" s="161">
        <v>40308</v>
      </c>
      <c r="F441" s="172" t="str">
        <f t="shared" si="20"/>
        <v>2009-10</v>
      </c>
      <c r="G441" s="68"/>
      <c r="H441" s="167" t="s">
        <v>279</v>
      </c>
      <c r="I441" s="173">
        <v>89592.114709699614</v>
      </c>
      <c r="J441" s="168">
        <f>IFERROR(MIN('MP Calculations'!$E$30/I441,1),"-")</f>
        <v>0.31014580161562261</v>
      </c>
      <c r="K441" s="12"/>
      <c r="L441" s="159">
        <v>55.941569999999999</v>
      </c>
      <c r="M441" s="159" t="s">
        <v>408</v>
      </c>
      <c r="N441" s="159">
        <v>2321</v>
      </c>
      <c r="O441" s="185">
        <f t="shared" si="23"/>
        <v>129840.38397</v>
      </c>
      <c r="P441" s="215">
        <f t="shared" si="21"/>
        <v>40269.449968455883</v>
      </c>
      <c r="Q441" s="215" cm="1">
        <f t="array" ref="Q441">IF(P441="-",0,P441/(1+'General inputs'!$H$32)^IFERROR(INDEX('MP Calculations'!$C$40:$C$130,MATCH(F441,'MP Calculations'!$D$40:$D$130,0),0),-1))</f>
        <v>68747.363002395301</v>
      </c>
    </row>
    <row r="442" spans="3:17" x14ac:dyDescent="0.25">
      <c r="C442" s="159"/>
      <c r="D442" s="165" t="s">
        <v>306</v>
      </c>
      <c r="E442" s="161">
        <v>40308</v>
      </c>
      <c r="F442" s="172" t="str">
        <f t="shared" si="20"/>
        <v>2009-10</v>
      </c>
      <c r="G442" s="68"/>
      <c r="H442" s="167" t="s">
        <v>279</v>
      </c>
      <c r="I442" s="173">
        <v>89592.114709699614</v>
      </c>
      <c r="J442" s="168">
        <f>IFERROR(MIN('MP Calculations'!$E$30/I442,1),"-")</f>
        <v>0.31014580161562261</v>
      </c>
      <c r="K442" s="12"/>
      <c r="L442" s="159">
        <v>23.688472000000001</v>
      </c>
      <c r="M442" s="159" t="s">
        <v>408</v>
      </c>
      <c r="N442" s="159">
        <v>2321</v>
      </c>
      <c r="O442" s="185">
        <f t="shared" si="23"/>
        <v>54980.943512000005</v>
      </c>
      <c r="P442" s="215">
        <f t="shared" si="21"/>
        <v>17052.108799112506</v>
      </c>
      <c r="Q442" s="215" cm="1">
        <f t="array" ref="Q442">IF(P442="-",0,P442/(1+'General inputs'!$H$32)^IFERROR(INDEX('MP Calculations'!$C$40:$C$130,MATCH(F442,'MP Calculations'!$D$40:$D$130,0),0),-1))</f>
        <v>29111.088293662066</v>
      </c>
    </row>
    <row r="443" spans="3:17" x14ac:dyDescent="0.25">
      <c r="C443" s="159"/>
      <c r="D443" s="165" t="s">
        <v>646</v>
      </c>
      <c r="E443" s="161">
        <v>40317</v>
      </c>
      <c r="F443" s="172" t="str">
        <f t="shared" si="20"/>
        <v>2009-10</v>
      </c>
      <c r="G443" s="68"/>
      <c r="H443" s="167" t="s">
        <v>279</v>
      </c>
      <c r="I443" s="173">
        <v>89592.114709699614</v>
      </c>
      <c r="J443" s="168">
        <f>IFERROR(MIN('MP Calculations'!$E$30/I443,1),"-")</f>
        <v>0.31014580161562261</v>
      </c>
      <c r="K443" s="12"/>
      <c r="L443" s="159">
        <v>1</v>
      </c>
      <c r="M443" s="159" t="s">
        <v>409</v>
      </c>
      <c r="N443" s="159">
        <v>9629.98</v>
      </c>
      <c r="O443" s="185">
        <f t="shared" si="23"/>
        <v>9629.98</v>
      </c>
      <c r="P443" s="215">
        <f t="shared" si="21"/>
        <v>2986.6978666424134</v>
      </c>
      <c r="Q443" s="215" cm="1">
        <f t="array" ref="Q443">IF(P443="-",0,P443/(1+'General inputs'!$H$32)^IFERROR(INDEX('MP Calculations'!$C$40:$C$130,MATCH(F443,'MP Calculations'!$D$40:$D$130,0),0),-1))</f>
        <v>5098.8429833877572</v>
      </c>
    </row>
    <row r="444" spans="3:17" x14ac:dyDescent="0.25">
      <c r="C444" s="159"/>
      <c r="D444" s="165" t="s">
        <v>647</v>
      </c>
      <c r="E444" s="161">
        <v>40330</v>
      </c>
      <c r="F444" s="172" t="str">
        <f t="shared" si="20"/>
        <v>2009-10</v>
      </c>
      <c r="G444" s="68"/>
      <c r="H444" s="167" t="s">
        <v>279</v>
      </c>
      <c r="I444" s="173">
        <v>89592.114709699614</v>
      </c>
      <c r="J444" s="168">
        <f>IFERROR(MIN('MP Calculations'!$E$30/I444,1),"-")</f>
        <v>0.31014580161562261</v>
      </c>
      <c r="K444" s="12"/>
      <c r="L444" s="159">
        <v>1</v>
      </c>
      <c r="M444" s="159" t="s">
        <v>409</v>
      </c>
      <c r="N444" s="159">
        <v>3815.88</v>
      </c>
      <c r="O444" s="185">
        <f t="shared" si="23"/>
        <v>3815.88</v>
      </c>
      <c r="P444" s="215">
        <f t="shared" si="21"/>
        <v>1183.4791614690221</v>
      </c>
      <c r="Q444" s="215" cm="1">
        <f t="array" ref="Q444">IF(P444="-",0,P444/(1+'General inputs'!$H$32)^IFERROR(INDEX('MP Calculations'!$C$40:$C$130,MATCH(F444,'MP Calculations'!$D$40:$D$130,0),0),-1))</f>
        <v>2020.4167571946853</v>
      </c>
    </row>
    <row r="445" spans="3:17" x14ac:dyDescent="0.25">
      <c r="C445" s="159"/>
      <c r="D445" s="165" t="s">
        <v>648</v>
      </c>
      <c r="E445" s="161">
        <v>40330</v>
      </c>
      <c r="F445" s="172" t="str">
        <f t="shared" si="20"/>
        <v>2009-10</v>
      </c>
      <c r="G445" s="68"/>
      <c r="H445" s="167" t="s">
        <v>279</v>
      </c>
      <c r="I445" s="173">
        <v>89592.114709699614</v>
      </c>
      <c r="J445" s="168">
        <f>IFERROR(MIN('MP Calculations'!$E$30/I445,1),"-")</f>
        <v>0.31014580161562261</v>
      </c>
      <c r="K445" s="12"/>
      <c r="L445" s="159">
        <v>1</v>
      </c>
      <c r="M445" s="159" t="s">
        <v>409</v>
      </c>
      <c r="N445" s="159">
        <v>1391.93</v>
      </c>
      <c r="O445" s="185">
        <f t="shared" si="23"/>
        <v>1391.93</v>
      </c>
      <c r="P445" s="215">
        <f t="shared" si="21"/>
        <v>431.70124564283361</v>
      </c>
      <c r="Q445" s="215" cm="1">
        <f t="array" ref="Q445">IF(P445="-",0,P445/(1+'General inputs'!$H$32)^IFERROR(INDEX('MP Calculations'!$C$40:$C$130,MATCH(F445,'MP Calculations'!$D$40:$D$130,0),0),-1))</f>
        <v>736.99348429248255</v>
      </c>
    </row>
    <row r="446" spans="3:17" x14ac:dyDescent="0.25">
      <c r="C446" s="159"/>
      <c r="D446" s="165" t="s">
        <v>649</v>
      </c>
      <c r="E446" s="161">
        <v>40330</v>
      </c>
      <c r="F446" s="172" t="str">
        <f t="shared" si="20"/>
        <v>2009-10</v>
      </c>
      <c r="G446" s="68"/>
      <c r="H446" s="167" t="s">
        <v>279</v>
      </c>
      <c r="I446" s="173">
        <v>89592.114709699614</v>
      </c>
      <c r="J446" s="168">
        <f>IFERROR(MIN('MP Calculations'!$E$30/I446,1),"-")</f>
        <v>0.31014580161562261</v>
      </c>
      <c r="K446" s="12"/>
      <c r="L446" s="159">
        <v>1</v>
      </c>
      <c r="M446" s="159" t="s">
        <v>409</v>
      </c>
      <c r="N446" s="159">
        <v>415507.76</v>
      </c>
      <c r="O446" s="185">
        <f t="shared" si="23"/>
        <v>415507.76</v>
      </c>
      <c r="P446" s="215">
        <f t="shared" si="21"/>
        <v>128867.98730271173</v>
      </c>
      <c r="Q446" s="215" cm="1">
        <f t="array" ref="Q446">IF(P446="-",0,P446/(1+'General inputs'!$H$32)^IFERROR(INDEX('MP Calculations'!$C$40:$C$130,MATCH(F446,'MP Calculations'!$D$40:$D$130,0),0),-1))</f>
        <v>220001.3734835549</v>
      </c>
    </row>
    <row r="447" spans="3:17" x14ac:dyDescent="0.25">
      <c r="C447" s="159"/>
      <c r="D447" s="165" t="s">
        <v>650</v>
      </c>
      <c r="E447" s="161">
        <v>40360</v>
      </c>
      <c r="F447" s="172" t="str">
        <f t="shared" si="20"/>
        <v>2010-11</v>
      </c>
      <c r="G447" s="68"/>
      <c r="H447" s="167" t="s">
        <v>279</v>
      </c>
      <c r="I447" s="173">
        <v>89592.114709699614</v>
      </c>
      <c r="J447" s="168">
        <f>IFERROR(MIN('MP Calculations'!$E$30/I447,1),"-")</f>
        <v>0.31014580161562261</v>
      </c>
      <c r="K447" s="12"/>
      <c r="L447" s="159">
        <v>1</v>
      </c>
      <c r="M447" s="159" t="s">
        <v>409</v>
      </c>
      <c r="N447" s="159">
        <v>4844.67</v>
      </c>
      <c r="O447" s="185">
        <f t="shared" si="23"/>
        <v>4844.67</v>
      </c>
      <c r="P447" s="215">
        <f t="shared" si="21"/>
        <v>1502.5540607131584</v>
      </c>
      <c r="Q447" s="215" cm="1">
        <f t="array" ref="Q447">IF(P447="-",0,P447/(1+'General inputs'!$H$32)^IFERROR(INDEX('MP Calculations'!$C$40:$C$130,MATCH(F447,'MP Calculations'!$D$40:$D$130,0),0),-1))</f>
        <v>2461.7431270896418</v>
      </c>
    </row>
    <row r="448" spans="3:17" ht="23" x14ac:dyDescent="0.25">
      <c r="C448" s="159"/>
      <c r="D448" s="165" t="s">
        <v>651</v>
      </c>
      <c r="E448" s="161">
        <v>40379</v>
      </c>
      <c r="F448" s="172" t="str">
        <f t="shared" si="20"/>
        <v>2010-11</v>
      </c>
      <c r="G448" s="68"/>
      <c r="H448" s="167" t="s">
        <v>279</v>
      </c>
      <c r="I448" s="173">
        <v>89592.114709699614</v>
      </c>
      <c r="J448" s="168">
        <f>IFERROR(MIN('MP Calculations'!$E$30/I448,1),"-")</f>
        <v>0.31014580161562261</v>
      </c>
      <c r="K448" s="12"/>
      <c r="L448" s="159">
        <v>6.0394579999999998</v>
      </c>
      <c r="M448" s="159" t="s">
        <v>408</v>
      </c>
      <c r="N448" s="159">
        <v>3983</v>
      </c>
      <c r="O448" s="185">
        <f t="shared" si="23"/>
        <v>24055.161214</v>
      </c>
      <c r="P448" s="215">
        <f t="shared" si="21"/>
        <v>7460.6072577090636</v>
      </c>
      <c r="Q448" s="215" cm="1">
        <f t="array" ref="Q448">IF(P448="-",0,P448/(1+'General inputs'!$H$32)^IFERROR(INDEX('MP Calculations'!$C$40:$C$130,MATCH(F448,'MP Calculations'!$D$40:$D$130,0),0),-1))</f>
        <v>12223.25313996574</v>
      </c>
    </row>
    <row r="449" spans="3:17" x14ac:dyDescent="0.25">
      <c r="C449" s="159"/>
      <c r="D449" s="165" t="s">
        <v>281</v>
      </c>
      <c r="E449" s="161">
        <v>40379</v>
      </c>
      <c r="F449" s="172" t="str">
        <f t="shared" si="20"/>
        <v>2010-11</v>
      </c>
      <c r="G449" s="68"/>
      <c r="H449" s="167" t="s">
        <v>279</v>
      </c>
      <c r="I449" s="173">
        <v>89592.114709699614</v>
      </c>
      <c r="J449" s="168">
        <f>IFERROR(MIN('MP Calculations'!$E$30/I449,1),"-")</f>
        <v>0.31014580161562261</v>
      </c>
      <c r="K449" s="12"/>
      <c r="L449" s="159">
        <v>1.980459</v>
      </c>
      <c r="M449" s="159" t="s">
        <v>408</v>
      </c>
      <c r="N449" s="159">
        <v>809</v>
      </c>
      <c r="O449" s="185">
        <f t="shared" si="23"/>
        <v>1602.191331</v>
      </c>
      <c r="P449" s="215">
        <f t="shared" si="21"/>
        <v>496.91291469459634</v>
      </c>
      <c r="Q449" s="215" cm="1">
        <f t="array" ref="Q449">IF(P449="-",0,P449/(1+'General inputs'!$H$32)^IFERROR(INDEX('MP Calculations'!$C$40:$C$130,MATCH(F449,'MP Calculations'!$D$40:$D$130,0),0),-1))</f>
        <v>814.12841274469793</v>
      </c>
    </row>
    <row r="450" spans="3:17" ht="23" x14ac:dyDescent="0.25">
      <c r="C450" s="159"/>
      <c r="D450" s="165" t="s">
        <v>651</v>
      </c>
      <c r="E450" s="161">
        <v>40379</v>
      </c>
      <c r="F450" s="172" t="str">
        <f t="shared" si="20"/>
        <v>2010-11</v>
      </c>
      <c r="G450" s="68"/>
      <c r="H450" s="167" t="s">
        <v>279</v>
      </c>
      <c r="I450" s="173">
        <v>89592.114709699614</v>
      </c>
      <c r="J450" s="168">
        <f>IFERROR(MIN('MP Calculations'!$E$30/I450,1),"-")</f>
        <v>0.31014580161562261</v>
      </c>
      <c r="K450" s="12"/>
      <c r="L450" s="159">
        <v>1.971465</v>
      </c>
      <c r="M450" s="159" t="s">
        <v>408</v>
      </c>
      <c r="N450" s="159">
        <v>3983</v>
      </c>
      <c r="O450" s="185">
        <f t="shared" si="23"/>
        <v>7852.3450949999997</v>
      </c>
      <c r="P450" s="215">
        <f t="shared" si="21"/>
        <v>2435.371864051277</v>
      </c>
      <c r="Q450" s="215" cm="1">
        <f t="array" ref="Q450">IF(P450="-",0,P450/(1+'General inputs'!$H$32)^IFERROR(INDEX('MP Calculations'!$C$40:$C$130,MATCH(F450,'MP Calculations'!$D$40:$D$130,0),0),-1))</f>
        <v>3990.0460855233296</v>
      </c>
    </row>
    <row r="451" spans="3:17" x14ac:dyDescent="0.25">
      <c r="C451" s="159"/>
      <c r="D451" s="165" t="s">
        <v>281</v>
      </c>
      <c r="E451" s="161">
        <v>40379</v>
      </c>
      <c r="F451" s="172" t="str">
        <f t="shared" si="20"/>
        <v>2010-11</v>
      </c>
      <c r="G451" s="68"/>
      <c r="H451" s="167" t="s">
        <v>279</v>
      </c>
      <c r="I451" s="173">
        <v>89592.114709699614</v>
      </c>
      <c r="J451" s="168">
        <f>IFERROR(MIN('MP Calculations'!$E$30/I451,1),"-")</f>
        <v>0.31014580161562261</v>
      </c>
      <c r="K451" s="12"/>
      <c r="L451" s="159">
        <v>1.9914510000000001</v>
      </c>
      <c r="M451" s="159" t="s">
        <v>408</v>
      </c>
      <c r="N451" s="159">
        <v>809</v>
      </c>
      <c r="O451" s="185">
        <f t="shared" si="23"/>
        <v>1611.0838590000001</v>
      </c>
      <c r="P451" s="215">
        <f t="shared" si="21"/>
        <v>499.67089491954573</v>
      </c>
      <c r="Q451" s="215" cm="1">
        <f t="array" ref="Q451">IF(P451="-",0,P451/(1+'General inputs'!$H$32)^IFERROR(INDEX('MP Calculations'!$C$40:$C$130,MATCH(F451,'MP Calculations'!$D$40:$D$130,0),0),-1))</f>
        <v>818.64701146998823</v>
      </c>
    </row>
    <row r="452" spans="3:17" x14ac:dyDescent="0.25">
      <c r="C452" s="159"/>
      <c r="D452" s="165" t="s">
        <v>281</v>
      </c>
      <c r="E452" s="161">
        <v>40379</v>
      </c>
      <c r="F452" s="172" t="str">
        <f t="shared" si="20"/>
        <v>2010-11</v>
      </c>
      <c r="G452" s="68"/>
      <c r="H452" s="167" t="s">
        <v>279</v>
      </c>
      <c r="I452" s="173">
        <v>89592.114709699614</v>
      </c>
      <c r="J452" s="168">
        <f>IFERROR(MIN('MP Calculations'!$E$30/I452,1),"-")</f>
        <v>0.31014580161562261</v>
      </c>
      <c r="K452" s="12"/>
      <c r="L452" s="159">
        <v>6.0808460000000002</v>
      </c>
      <c r="M452" s="159" t="s">
        <v>408</v>
      </c>
      <c r="N452" s="159">
        <v>809</v>
      </c>
      <c r="O452" s="185">
        <f t="shared" si="23"/>
        <v>4919.4044140000005</v>
      </c>
      <c r="P452" s="215">
        <f t="shared" si="21"/>
        <v>1525.7326254514624</v>
      </c>
      <c r="Q452" s="215" cm="1">
        <f t="array" ref="Q452">IF(P452="-",0,P452/(1+'General inputs'!$H$32)^IFERROR(INDEX('MP Calculations'!$C$40:$C$130,MATCH(F452,'MP Calculations'!$D$40:$D$130,0),0),-1))</f>
        <v>2499.718248206575</v>
      </c>
    </row>
    <row r="453" spans="3:17" x14ac:dyDescent="0.25">
      <c r="C453" s="159"/>
      <c r="D453" s="165" t="s">
        <v>652</v>
      </c>
      <c r="E453" s="161">
        <v>40391</v>
      </c>
      <c r="F453" s="172" t="str">
        <f t="shared" si="20"/>
        <v>2010-11</v>
      </c>
      <c r="G453" s="68"/>
      <c r="H453" s="167" t="s">
        <v>279</v>
      </c>
      <c r="I453" s="173">
        <v>89592.114709699614</v>
      </c>
      <c r="J453" s="168">
        <f>IFERROR(MIN('MP Calculations'!$E$30/I453,1),"-")</f>
        <v>0.31014580161562261</v>
      </c>
      <c r="K453" s="12"/>
      <c r="L453" s="159">
        <v>1</v>
      </c>
      <c r="M453" s="159" t="s">
        <v>409</v>
      </c>
      <c r="N453" s="159">
        <v>4034.89</v>
      </c>
      <c r="O453" s="185">
        <f t="shared" si="23"/>
        <v>4034.89</v>
      </c>
      <c r="P453" s="215">
        <f t="shared" si="21"/>
        <v>1251.4041934808595</v>
      </c>
      <c r="Q453" s="215" cm="1">
        <f t="array" ref="Q453">IF(P453="-",0,P453/(1+'General inputs'!$H$32)^IFERROR(INDEX('MP Calculations'!$C$40:$C$130,MATCH(F453,'MP Calculations'!$D$40:$D$130,0),0),-1))</f>
        <v>2050.2661122558861</v>
      </c>
    </row>
    <row r="454" spans="3:17" x14ac:dyDescent="0.25">
      <c r="C454" s="159"/>
      <c r="D454" s="165" t="s">
        <v>653</v>
      </c>
      <c r="E454" s="161">
        <v>40391</v>
      </c>
      <c r="F454" s="172" t="str">
        <f t="shared" si="20"/>
        <v>2010-11</v>
      </c>
      <c r="G454" s="68"/>
      <c r="H454" s="167" t="s">
        <v>279</v>
      </c>
      <c r="I454" s="173">
        <v>89592.114709699614</v>
      </c>
      <c r="J454" s="168">
        <f>IFERROR(MIN('MP Calculations'!$E$30/I454,1),"-")</f>
        <v>0.31014580161562261</v>
      </c>
      <c r="K454" s="12"/>
      <c r="L454" s="159">
        <v>1</v>
      </c>
      <c r="M454" s="159" t="s">
        <v>409</v>
      </c>
      <c r="N454" s="159">
        <v>17693.12</v>
      </c>
      <c r="O454" s="185">
        <f t="shared" si="23"/>
        <v>17693.12</v>
      </c>
      <c r="P454" s="215">
        <f t="shared" si="21"/>
        <v>5487.446885481404</v>
      </c>
      <c r="Q454" s="215" cm="1">
        <f t="array" ref="Q454">IF(P454="-",0,P454/(1+'General inputs'!$H$32)^IFERROR(INDEX('MP Calculations'!$C$40:$C$130,MATCH(F454,'MP Calculations'!$D$40:$D$130,0),0),-1))</f>
        <v>8990.4816131485277</v>
      </c>
    </row>
    <row r="455" spans="3:17" x14ac:dyDescent="0.25">
      <c r="C455" s="159"/>
      <c r="D455" s="165" t="s">
        <v>654</v>
      </c>
      <c r="E455" s="161">
        <v>40422</v>
      </c>
      <c r="F455" s="172" t="str">
        <f t="shared" si="20"/>
        <v>2010-11</v>
      </c>
      <c r="G455" s="68"/>
      <c r="H455" s="167" t="s">
        <v>279</v>
      </c>
      <c r="I455" s="173">
        <v>89592.114709699614</v>
      </c>
      <c r="J455" s="168">
        <f>IFERROR(MIN('MP Calculations'!$E$30/I455,1),"-")</f>
        <v>0.31014580161562261</v>
      </c>
      <c r="K455" s="12"/>
      <c r="L455" s="159">
        <v>1</v>
      </c>
      <c r="M455" s="159" t="s">
        <v>409</v>
      </c>
      <c r="N455" s="159">
        <v>18928.240000000002</v>
      </c>
      <c r="O455" s="185">
        <f t="shared" si="23"/>
        <v>18928.240000000002</v>
      </c>
      <c r="P455" s="215">
        <f t="shared" si="21"/>
        <v>5870.5141679728931</v>
      </c>
      <c r="Q455" s="215" cm="1">
        <f t="array" ref="Q455">IF(P455="-",0,P455/(1+'General inputs'!$H$32)^IFERROR(INDEX('MP Calculations'!$C$40:$C$130,MATCH(F455,'MP Calculations'!$D$40:$D$130,0),0),-1))</f>
        <v>9618.0884823740835</v>
      </c>
    </row>
    <row r="456" spans="3:17" x14ac:dyDescent="0.25">
      <c r="C456" s="159"/>
      <c r="D456" s="165" t="s">
        <v>655</v>
      </c>
      <c r="E456" s="161">
        <v>40422</v>
      </c>
      <c r="F456" s="172" t="str">
        <f t="shared" si="20"/>
        <v>2010-11</v>
      </c>
      <c r="G456" s="68"/>
      <c r="H456" s="167" t="s">
        <v>279</v>
      </c>
      <c r="I456" s="173">
        <v>89592.114709699614</v>
      </c>
      <c r="J456" s="168">
        <f>IFERROR(MIN('MP Calculations'!$E$30/I456,1),"-")</f>
        <v>0.31014580161562261</v>
      </c>
      <c r="K456" s="12"/>
      <c r="L456" s="159">
        <v>1</v>
      </c>
      <c r="M456" s="159" t="s">
        <v>409</v>
      </c>
      <c r="N456" s="159">
        <v>3776.05</v>
      </c>
      <c r="O456" s="185">
        <f t="shared" si="23"/>
        <v>3776.05</v>
      </c>
      <c r="P456" s="215">
        <f t="shared" si="21"/>
        <v>1171.1260541906718</v>
      </c>
      <c r="Q456" s="215" cm="1">
        <f t="array" ref="Q456">IF(P456="-",0,P456/(1+'General inputs'!$H$32)^IFERROR(INDEX('MP Calculations'!$C$40:$C$130,MATCH(F456,'MP Calculations'!$D$40:$D$130,0),0),-1))</f>
        <v>1918.7406232100107</v>
      </c>
    </row>
    <row r="457" spans="3:17" x14ac:dyDescent="0.25">
      <c r="C457" s="159"/>
      <c r="D457" s="165" t="s">
        <v>656</v>
      </c>
      <c r="E457" s="161">
        <v>40422</v>
      </c>
      <c r="F457" s="172" t="str">
        <f t="shared" si="20"/>
        <v>2010-11</v>
      </c>
      <c r="G457" s="68"/>
      <c r="H457" s="167" t="s">
        <v>279</v>
      </c>
      <c r="I457" s="173">
        <v>89592.114709699614</v>
      </c>
      <c r="J457" s="168">
        <f>IFERROR(MIN('MP Calculations'!$E$30/I457,1),"-")</f>
        <v>0.31014580161562261</v>
      </c>
      <c r="K457" s="12"/>
      <c r="L457" s="159">
        <v>1</v>
      </c>
      <c r="M457" s="159" t="s">
        <v>409</v>
      </c>
      <c r="N457" s="159">
        <v>4583.76</v>
      </c>
      <c r="O457" s="185">
        <f t="shared" si="23"/>
        <v>4583.76</v>
      </c>
      <c r="P457" s="215">
        <f t="shared" si="21"/>
        <v>1421.6339196136264</v>
      </c>
      <c r="Q457" s="215" cm="1">
        <f t="array" ref="Q457">IF(P457="-",0,P457/(1+'General inputs'!$H$32)^IFERROR(INDEX('MP Calculations'!$C$40:$C$130,MATCH(F457,'MP Calculations'!$D$40:$D$130,0),0),-1))</f>
        <v>2329.1657999881145</v>
      </c>
    </row>
    <row r="458" spans="3:17" x14ac:dyDescent="0.25">
      <c r="C458" s="159"/>
      <c r="D458" s="165" t="s">
        <v>283</v>
      </c>
      <c r="E458" s="161">
        <v>40424</v>
      </c>
      <c r="F458" s="172" t="str">
        <f t="shared" si="20"/>
        <v>2010-11</v>
      </c>
      <c r="G458" s="68"/>
      <c r="H458" s="167" t="s">
        <v>279</v>
      </c>
      <c r="I458" s="173">
        <v>89592.114709699614</v>
      </c>
      <c r="J458" s="168">
        <f>IFERROR(MIN('MP Calculations'!$E$30/I458,1),"-")</f>
        <v>0.31014580161562261</v>
      </c>
      <c r="K458" s="12"/>
      <c r="L458" s="159">
        <v>12.905657</v>
      </c>
      <c r="M458" s="159" t="s">
        <v>408</v>
      </c>
      <c r="N458" s="159">
        <v>622</v>
      </c>
      <c r="O458" s="185">
        <f t="shared" si="23"/>
        <v>8027.3186539999997</v>
      </c>
      <c r="P458" s="215">
        <f t="shared" si="21"/>
        <v>2489.6391787688708</v>
      </c>
      <c r="Q458" s="215" cm="1">
        <f t="array" ref="Q458">IF(P458="-",0,P458/(1+'General inputs'!$H$32)^IFERROR(INDEX('MP Calculations'!$C$40:$C$130,MATCH(F458,'MP Calculations'!$D$40:$D$130,0),0),-1))</f>
        <v>4078.9561570639435</v>
      </c>
    </row>
    <row r="459" spans="3:17" x14ac:dyDescent="0.25">
      <c r="C459" s="159"/>
      <c r="D459" s="165" t="s">
        <v>657</v>
      </c>
      <c r="E459" s="161">
        <v>40452</v>
      </c>
      <c r="F459" s="172" t="str">
        <f t="shared" si="20"/>
        <v>2010-11</v>
      </c>
      <c r="G459" s="68"/>
      <c r="H459" s="167" t="s">
        <v>279</v>
      </c>
      <c r="I459" s="173">
        <v>89592.114709699614</v>
      </c>
      <c r="J459" s="168">
        <f>IFERROR(MIN('MP Calculations'!$E$30/I459,1),"-")</f>
        <v>0.31014580161562261</v>
      </c>
      <c r="K459" s="12"/>
      <c r="L459" s="159">
        <v>1</v>
      </c>
      <c r="M459" s="159" t="s">
        <v>409</v>
      </c>
      <c r="N459" s="159">
        <v>3142.05</v>
      </c>
      <c r="O459" s="185">
        <f t="shared" si="23"/>
        <v>3142.05</v>
      </c>
      <c r="P459" s="215">
        <f t="shared" si="21"/>
        <v>974.49361596636709</v>
      </c>
      <c r="Q459" s="215" cm="1">
        <f t="array" ref="Q459">IF(P459="-",0,P459/(1+'General inputs'!$H$32)^IFERROR(INDEX('MP Calculations'!$C$40:$C$130,MATCH(F459,'MP Calculations'!$D$40:$D$130,0),0),-1))</f>
        <v>1596.5834602711866</v>
      </c>
    </row>
    <row r="460" spans="3:17" x14ac:dyDescent="0.25">
      <c r="C460" s="159"/>
      <c r="D460" s="165" t="s">
        <v>658</v>
      </c>
      <c r="E460" s="161">
        <v>40483</v>
      </c>
      <c r="F460" s="172" t="str">
        <f t="shared" si="20"/>
        <v>2010-11</v>
      </c>
      <c r="G460" s="68"/>
      <c r="H460" s="167" t="s">
        <v>279</v>
      </c>
      <c r="I460" s="173">
        <v>89592.114709699614</v>
      </c>
      <c r="J460" s="168">
        <f>IFERROR(MIN('MP Calculations'!$E$30/I460,1),"-")</f>
        <v>0.31014580161562261</v>
      </c>
      <c r="K460" s="12"/>
      <c r="L460" s="159">
        <v>1</v>
      </c>
      <c r="M460" s="159" t="s">
        <v>409</v>
      </c>
      <c r="N460" s="159">
        <v>3986</v>
      </c>
      <c r="O460" s="185">
        <f t="shared" si="23"/>
        <v>3986</v>
      </c>
      <c r="P460" s="215">
        <f t="shared" si="21"/>
        <v>1236.2411652398716</v>
      </c>
      <c r="Q460" s="215" cm="1">
        <f t="array" ref="Q460">IF(P460="-",0,P460/(1+'General inputs'!$H$32)^IFERROR(INDEX('MP Calculations'!$C$40:$C$130,MATCH(F460,'MP Calculations'!$D$40:$D$130,0),0),-1))</f>
        <v>2025.423425038096</v>
      </c>
    </row>
    <row r="461" spans="3:17" x14ac:dyDescent="0.25">
      <c r="C461" s="159"/>
      <c r="D461" s="165" t="s">
        <v>659</v>
      </c>
      <c r="E461" s="161">
        <v>40483</v>
      </c>
      <c r="F461" s="172" t="str">
        <f t="shared" si="20"/>
        <v>2010-11</v>
      </c>
      <c r="G461" s="68"/>
      <c r="H461" s="167" t="s">
        <v>279</v>
      </c>
      <c r="I461" s="173">
        <v>89592.114709699614</v>
      </c>
      <c r="J461" s="168">
        <f>IFERROR(MIN('MP Calculations'!$E$30/I461,1),"-")</f>
        <v>0.31014580161562261</v>
      </c>
      <c r="K461" s="12"/>
      <c r="L461" s="159">
        <v>1</v>
      </c>
      <c r="M461" s="159" t="s">
        <v>409</v>
      </c>
      <c r="N461" s="159">
        <v>3829.13</v>
      </c>
      <c r="O461" s="185">
        <f t="shared" si="23"/>
        <v>3829.13</v>
      </c>
      <c r="P461" s="215">
        <f t="shared" si="21"/>
        <v>1187.588593340429</v>
      </c>
      <c r="Q461" s="215" cm="1">
        <f t="array" ref="Q461">IF(P461="-",0,P461/(1+'General inputs'!$H$32)^IFERROR(INDEX('MP Calculations'!$C$40:$C$130,MATCH(F461,'MP Calculations'!$D$40:$D$130,0),0),-1))</f>
        <v>1945.7123932554252</v>
      </c>
    </row>
    <row r="462" spans="3:17" x14ac:dyDescent="0.25">
      <c r="C462" s="159"/>
      <c r="D462" s="165" t="s">
        <v>288</v>
      </c>
      <c r="E462" s="161">
        <v>40485</v>
      </c>
      <c r="F462" s="172" t="str">
        <f t="shared" si="20"/>
        <v>2010-11</v>
      </c>
      <c r="G462" s="68"/>
      <c r="H462" s="167" t="s">
        <v>279</v>
      </c>
      <c r="I462" s="173">
        <v>89592.114709699614</v>
      </c>
      <c r="J462" s="168">
        <f>IFERROR(MIN('MP Calculations'!$E$30/I462,1),"-")</f>
        <v>0.31014580161562261</v>
      </c>
      <c r="K462" s="12"/>
      <c r="L462" s="159">
        <v>67.431796000000006</v>
      </c>
      <c r="M462" s="159" t="s">
        <v>408</v>
      </c>
      <c r="N462" s="159">
        <v>622</v>
      </c>
      <c r="O462" s="185">
        <f t="shared" si="23"/>
        <v>41942.577112000006</v>
      </c>
      <c r="P462" s="215">
        <f t="shared" si="21"/>
        <v>13008.314200226307</v>
      </c>
      <c r="Q462" s="215" cm="1">
        <f t="array" ref="Q462">IF(P462="-",0,P462/(1+'General inputs'!$H$32)^IFERROR(INDEX('MP Calculations'!$C$40:$C$130,MATCH(F462,'MP Calculations'!$D$40:$D$130,0),0),-1))</f>
        <v>21312.463168367161</v>
      </c>
    </row>
    <row r="463" spans="3:17" x14ac:dyDescent="0.25">
      <c r="C463" s="159"/>
      <c r="D463" s="165" t="s">
        <v>660</v>
      </c>
      <c r="E463" s="161">
        <v>40513</v>
      </c>
      <c r="F463" s="172" t="str">
        <f t="shared" si="20"/>
        <v>2010-11</v>
      </c>
      <c r="G463" s="68"/>
      <c r="H463" s="167" t="s">
        <v>279</v>
      </c>
      <c r="I463" s="173">
        <v>89592.114709699614</v>
      </c>
      <c r="J463" s="168">
        <f>IFERROR(MIN('MP Calculations'!$E$30/I463,1),"-")</f>
        <v>0.31014580161562261</v>
      </c>
      <c r="K463" s="12"/>
      <c r="L463" s="159">
        <v>1</v>
      </c>
      <c r="M463" s="159" t="s">
        <v>409</v>
      </c>
      <c r="N463" s="159">
        <v>36199.56</v>
      </c>
      <c r="O463" s="185">
        <f t="shared" si="23"/>
        <v>36199.56</v>
      </c>
      <c r="P463" s="215">
        <f t="shared" si="21"/>
        <v>11227.141554332828</v>
      </c>
      <c r="Q463" s="215" cm="1">
        <f t="array" ref="Q463">IF(P463="-",0,P463/(1+'General inputs'!$H$32)^IFERROR(INDEX('MP Calculations'!$C$40:$C$130,MATCH(F463,'MP Calculations'!$D$40:$D$130,0),0),-1))</f>
        <v>18394.239036646275</v>
      </c>
    </row>
    <row r="464" spans="3:17" x14ac:dyDescent="0.25">
      <c r="C464" s="159"/>
      <c r="D464" s="165" t="s">
        <v>661</v>
      </c>
      <c r="E464" s="161">
        <v>40513</v>
      </c>
      <c r="F464" s="172" t="str">
        <f t="shared" si="20"/>
        <v>2010-11</v>
      </c>
      <c r="G464" s="68"/>
      <c r="H464" s="167" t="s">
        <v>279</v>
      </c>
      <c r="I464" s="173">
        <v>89592.114709699614</v>
      </c>
      <c r="J464" s="168">
        <f>IFERROR(MIN('MP Calculations'!$E$30/I464,1),"-")</f>
        <v>0.31014580161562261</v>
      </c>
      <c r="K464" s="12"/>
      <c r="L464" s="159">
        <v>1</v>
      </c>
      <c r="M464" s="159" t="s">
        <v>409</v>
      </c>
      <c r="N464" s="159">
        <v>5060.04</v>
      </c>
      <c r="O464" s="185">
        <f t="shared" si="23"/>
        <v>5060.04</v>
      </c>
      <c r="P464" s="215">
        <f t="shared" si="21"/>
        <v>1569.3501620071149</v>
      </c>
      <c r="Q464" s="215" cm="1">
        <f t="array" ref="Q464">IF(P464="-",0,P464/(1+'General inputs'!$H$32)^IFERROR(INDEX('MP Calculations'!$C$40:$C$130,MATCH(F464,'MP Calculations'!$D$40:$D$130,0),0),-1))</f>
        <v>2571.1800169668254</v>
      </c>
    </row>
    <row r="465" spans="3:17" x14ac:dyDescent="0.25">
      <c r="C465" s="159"/>
      <c r="D465" s="165" t="s">
        <v>662</v>
      </c>
      <c r="E465" s="161">
        <v>40513</v>
      </c>
      <c r="F465" s="172" t="str">
        <f t="shared" si="20"/>
        <v>2010-11</v>
      </c>
      <c r="G465" s="68"/>
      <c r="H465" s="167" t="s">
        <v>279</v>
      </c>
      <c r="I465" s="173">
        <v>89592.114709699614</v>
      </c>
      <c r="J465" s="168">
        <f>IFERROR(MIN('MP Calculations'!$E$30/I465,1),"-")</f>
        <v>0.31014580161562261</v>
      </c>
      <c r="K465" s="12"/>
      <c r="L465" s="159">
        <v>1</v>
      </c>
      <c r="M465" s="159" t="s">
        <v>409</v>
      </c>
      <c r="N465" s="159">
        <v>20716.830000000002</v>
      </c>
      <c r="O465" s="185">
        <f t="shared" si="23"/>
        <v>20716.830000000002</v>
      </c>
      <c r="P465" s="215">
        <f t="shared" si="21"/>
        <v>6425.2378472845794</v>
      </c>
      <c r="Q465" s="215" cm="1">
        <f t="array" ref="Q465">IF(P465="-",0,P465/(1+'General inputs'!$H$32)^IFERROR(INDEX('MP Calculations'!$C$40:$C$130,MATCH(F465,'MP Calculations'!$D$40:$D$130,0),0),-1))</f>
        <v>10526.932457233312</v>
      </c>
    </row>
    <row r="466" spans="3:17" x14ac:dyDescent="0.25">
      <c r="C466" s="159"/>
      <c r="D466" s="165" t="s">
        <v>663</v>
      </c>
      <c r="E466" s="161">
        <v>40513</v>
      </c>
      <c r="F466" s="172" t="str">
        <f t="shared" si="20"/>
        <v>2010-11</v>
      </c>
      <c r="G466" s="68"/>
      <c r="H466" s="167" t="s">
        <v>279</v>
      </c>
      <c r="I466" s="173">
        <v>89592.114709699614</v>
      </c>
      <c r="J466" s="168">
        <f>IFERROR(MIN('MP Calculations'!$E$30/I466,1),"-")</f>
        <v>0.31014580161562261</v>
      </c>
      <c r="K466" s="12"/>
      <c r="L466" s="159">
        <v>1</v>
      </c>
      <c r="M466" s="159" t="s">
        <v>409</v>
      </c>
      <c r="N466" s="159">
        <v>10749.61</v>
      </c>
      <c r="O466" s="185">
        <f t="shared" si="23"/>
        <v>10749.61</v>
      </c>
      <c r="P466" s="215">
        <f t="shared" si="21"/>
        <v>3333.946410505313</v>
      </c>
      <c r="Q466" s="215" cm="1">
        <f t="array" ref="Q466">IF(P466="-",0,P466/(1+'General inputs'!$H$32)^IFERROR(INDEX('MP Calculations'!$C$40:$C$130,MATCH(F466,'MP Calculations'!$D$40:$D$130,0),0),-1))</f>
        <v>5462.2458364334589</v>
      </c>
    </row>
    <row r="467" spans="3:17" x14ac:dyDescent="0.25">
      <c r="C467" s="159"/>
      <c r="D467" s="165" t="s">
        <v>664</v>
      </c>
      <c r="E467" s="161">
        <v>40544</v>
      </c>
      <c r="F467" s="172" t="str">
        <f t="shared" si="20"/>
        <v>2010-11</v>
      </c>
      <c r="G467" s="68"/>
      <c r="H467" s="167" t="s">
        <v>279</v>
      </c>
      <c r="I467" s="173">
        <v>89592.114709699614</v>
      </c>
      <c r="J467" s="168">
        <f>IFERROR(MIN('MP Calculations'!$E$30/I467,1),"-")</f>
        <v>0.31014580161562261</v>
      </c>
      <c r="K467" s="12"/>
      <c r="L467" s="159">
        <v>1</v>
      </c>
      <c r="M467" s="159" t="s">
        <v>409</v>
      </c>
      <c r="N467" s="159">
        <v>1890.92</v>
      </c>
      <c r="O467" s="185">
        <f t="shared" si="23"/>
        <v>1890.92</v>
      </c>
      <c r="P467" s="215">
        <f t="shared" si="21"/>
        <v>586.46089919101314</v>
      </c>
      <c r="Q467" s="215" cm="1">
        <f t="array" ref="Q467">IF(P467="-",0,P467/(1+'General inputs'!$H$32)^IFERROR(INDEX('MP Calculations'!$C$40:$C$130,MATCH(F467,'MP Calculations'!$D$40:$D$130,0),0),-1))</f>
        <v>960.841360479939</v>
      </c>
    </row>
    <row r="468" spans="3:17" x14ac:dyDescent="0.25">
      <c r="C468" s="159"/>
      <c r="D468" s="165" t="s">
        <v>665</v>
      </c>
      <c r="E468" s="161">
        <v>40544</v>
      </c>
      <c r="F468" s="172" t="str">
        <f t="shared" si="20"/>
        <v>2010-11</v>
      </c>
      <c r="G468" s="68"/>
      <c r="H468" s="167" t="s">
        <v>279</v>
      </c>
      <c r="I468" s="173">
        <v>89592.114709699614</v>
      </c>
      <c r="J468" s="168">
        <f>IFERROR(MIN('MP Calculations'!$E$30/I468,1),"-")</f>
        <v>0.31014580161562261</v>
      </c>
      <c r="K468" s="12"/>
      <c r="L468" s="159">
        <v>1</v>
      </c>
      <c r="M468" s="159" t="s">
        <v>409</v>
      </c>
      <c r="N468" s="159">
        <v>39516.050000000003</v>
      </c>
      <c r="O468" s="185">
        <f t="shared" si="23"/>
        <v>39516.050000000003</v>
      </c>
      <c r="P468" s="215">
        <f t="shared" si="21"/>
        <v>12255.737003933025</v>
      </c>
      <c r="Q468" s="215" cm="1">
        <f t="array" ref="Q468">IF(P468="-",0,P468/(1+'General inputs'!$H$32)^IFERROR(INDEX('MP Calculations'!$C$40:$C$130,MATCH(F468,'MP Calculations'!$D$40:$D$130,0),0),-1))</f>
        <v>20079.461448815018</v>
      </c>
    </row>
    <row r="469" spans="3:17" x14ac:dyDescent="0.25">
      <c r="C469" s="159"/>
      <c r="D469" s="165" t="s">
        <v>666</v>
      </c>
      <c r="E469" s="161">
        <v>40575</v>
      </c>
      <c r="F469" s="172" t="str">
        <f t="shared" si="20"/>
        <v>2010-11</v>
      </c>
      <c r="G469" s="68"/>
      <c r="H469" s="167" t="s">
        <v>279</v>
      </c>
      <c r="I469" s="173">
        <v>89592.114709699614</v>
      </c>
      <c r="J469" s="168">
        <f>IFERROR(MIN('MP Calculations'!$E$30/I469,1),"-")</f>
        <v>0.31014580161562261</v>
      </c>
      <c r="K469" s="12"/>
      <c r="L469" s="159">
        <v>1</v>
      </c>
      <c r="M469" s="159" t="s">
        <v>409</v>
      </c>
      <c r="N469" s="159">
        <v>2756.62</v>
      </c>
      <c r="O469" s="185">
        <f t="shared" si="23"/>
        <v>2756.62</v>
      </c>
      <c r="P469" s="215">
        <f t="shared" si="21"/>
        <v>854.95411964965751</v>
      </c>
      <c r="Q469" s="215" cm="1">
        <f t="array" ref="Q469">IF(P469="-",0,P469/(1+'General inputs'!$H$32)^IFERROR(INDEX('MP Calculations'!$C$40:$C$130,MATCH(F469,'MP Calculations'!$D$40:$D$130,0),0),-1))</f>
        <v>1400.7332468460902</v>
      </c>
    </row>
    <row r="470" spans="3:17" x14ac:dyDescent="0.25">
      <c r="C470" s="159"/>
      <c r="D470" s="165" t="s">
        <v>667</v>
      </c>
      <c r="E470" s="161">
        <v>40575</v>
      </c>
      <c r="F470" s="172" t="str">
        <f t="shared" ref="F470:F533" si="24">IF(E470="","-",IF(OR(E470&lt;$E$15,E470&gt;$E$16),"ERROR - date outside of range",IF(MONTH(E470)&gt;=7,YEAR(E470)&amp;"-"&amp;IF(YEAR(E470)=1999,"00",IF(AND(YEAR(E470)&gt;=2000,YEAR(E470)&lt;2009),"0","")&amp;RIGHT(YEAR(E470),2)+1),RIGHT(YEAR(E470),4)-1&amp;"-"&amp;RIGHT(YEAR(E470),2))))</f>
        <v>2010-11</v>
      </c>
      <c r="G470" s="68"/>
      <c r="H470" s="167" t="s">
        <v>279</v>
      </c>
      <c r="I470" s="173">
        <v>89592.114709699614</v>
      </c>
      <c r="J470" s="168">
        <f>IFERROR(MIN('MP Calculations'!$E$30/I470,1),"-")</f>
        <v>0.31014580161562261</v>
      </c>
      <c r="K470" s="12"/>
      <c r="L470" s="159">
        <v>1</v>
      </c>
      <c r="M470" s="159" t="s">
        <v>409</v>
      </c>
      <c r="N470" s="159">
        <v>13631.24</v>
      </c>
      <c r="O470" s="185">
        <f t="shared" si="23"/>
        <v>13631.24</v>
      </c>
      <c r="P470" s="215">
        <f t="shared" si="21"/>
        <v>4227.671856814939</v>
      </c>
      <c r="Q470" s="215" cm="1">
        <f t="array" ref="Q470">IF(P470="-",0,P470/(1+'General inputs'!$H$32)^IFERROR(INDEX('MP Calculations'!$C$40:$C$130,MATCH(F470,'MP Calculations'!$D$40:$D$130,0),0),-1))</f>
        <v>6926.5009554230537</v>
      </c>
    </row>
    <row r="471" spans="3:17" x14ac:dyDescent="0.25">
      <c r="C471" s="159"/>
      <c r="D471" s="165" t="s">
        <v>668</v>
      </c>
      <c r="E471" s="161">
        <v>40575</v>
      </c>
      <c r="F471" s="172" t="str">
        <f t="shared" si="24"/>
        <v>2010-11</v>
      </c>
      <c r="G471" s="68"/>
      <c r="H471" s="167" t="s">
        <v>279</v>
      </c>
      <c r="I471" s="173">
        <v>89592.114709699614</v>
      </c>
      <c r="J471" s="168">
        <f>IFERROR(MIN('MP Calculations'!$E$30/I471,1),"-")</f>
        <v>0.31014580161562261</v>
      </c>
      <c r="K471" s="12"/>
      <c r="L471" s="159">
        <v>1</v>
      </c>
      <c r="M471" s="159" t="s">
        <v>409</v>
      </c>
      <c r="N471" s="159">
        <v>4510.18</v>
      </c>
      <c r="O471" s="185">
        <f t="shared" si="23"/>
        <v>4510.18</v>
      </c>
      <c r="P471" s="215">
        <f t="shared" ref="P471:P534" si="25">IF(O471="-","-",IF(OR(E471&lt;$E$15,E471&gt;$E$16),0,O471*J471))</f>
        <v>1398.813391530749</v>
      </c>
      <c r="Q471" s="215" cm="1">
        <f t="array" ref="Q471">IF(P471="-",0,P471/(1+'General inputs'!$H$32)^IFERROR(INDEX('MP Calculations'!$C$40:$C$130,MATCH(F471,'MP Calculations'!$D$40:$D$130,0),0),-1))</f>
        <v>2291.7772762514605</v>
      </c>
    </row>
    <row r="472" spans="3:17" x14ac:dyDescent="0.25">
      <c r="C472" s="159"/>
      <c r="D472" s="165" t="s">
        <v>669</v>
      </c>
      <c r="E472" s="161">
        <v>40575</v>
      </c>
      <c r="F472" s="172" t="str">
        <f t="shared" si="24"/>
        <v>2010-11</v>
      </c>
      <c r="G472" s="68"/>
      <c r="H472" s="167" t="s">
        <v>279</v>
      </c>
      <c r="I472" s="173">
        <v>89592.114709699614</v>
      </c>
      <c r="J472" s="168">
        <f>IFERROR(MIN('MP Calculations'!$E$30/I472,1),"-")</f>
        <v>0.31014580161562261</v>
      </c>
      <c r="K472" s="12"/>
      <c r="L472" s="159">
        <v>1</v>
      </c>
      <c r="M472" s="159" t="s">
        <v>409</v>
      </c>
      <c r="N472" s="159">
        <v>11481.79</v>
      </c>
      <c r="O472" s="185">
        <f t="shared" si="23"/>
        <v>11481.79</v>
      </c>
      <c r="P472" s="215">
        <f t="shared" si="25"/>
        <v>3561.0289635322397</v>
      </c>
      <c r="Q472" s="215" cm="1">
        <f t="array" ref="Q472">IF(P472="-",0,P472/(1+'General inputs'!$H$32)^IFERROR(INDEX('MP Calculations'!$C$40:$C$130,MATCH(F472,'MP Calculations'!$D$40:$D$130,0),0),-1))</f>
        <v>5834.291627538425</v>
      </c>
    </row>
    <row r="473" spans="3:17" x14ac:dyDescent="0.25">
      <c r="C473" s="159"/>
      <c r="D473" s="165" t="s">
        <v>670</v>
      </c>
      <c r="E473" s="161">
        <v>40575</v>
      </c>
      <c r="F473" s="172" t="str">
        <f t="shared" si="24"/>
        <v>2010-11</v>
      </c>
      <c r="G473" s="68"/>
      <c r="H473" s="167" t="s">
        <v>279</v>
      </c>
      <c r="I473" s="173">
        <v>89592.114709699614</v>
      </c>
      <c r="J473" s="168">
        <f>IFERROR(MIN('MP Calculations'!$E$30/I473,1),"-")</f>
        <v>0.31014580161562261</v>
      </c>
      <c r="K473" s="12"/>
      <c r="L473" s="159">
        <v>1</v>
      </c>
      <c r="M473" s="159" t="s">
        <v>409</v>
      </c>
      <c r="N473" s="159">
        <v>3481.68</v>
      </c>
      <c r="O473" s="185">
        <f t="shared" ref="O473:O500" si="26">IF(N473="","-",L473*N473)</f>
        <v>3481.68</v>
      </c>
      <c r="P473" s="215">
        <f t="shared" si="25"/>
        <v>1079.8284345690809</v>
      </c>
      <c r="Q473" s="215" cm="1">
        <f t="array" ref="Q473">IF(P473="-",0,P473/(1+'General inputs'!$H$32)^IFERROR(INDEX('MP Calculations'!$C$40:$C$130,MATCH(F473,'MP Calculations'!$D$40:$D$130,0),0),-1))</f>
        <v>1769.1611215470741</v>
      </c>
    </row>
    <row r="474" spans="3:17" x14ac:dyDescent="0.25">
      <c r="C474" s="159"/>
      <c r="D474" s="165" t="s">
        <v>671</v>
      </c>
      <c r="E474" s="161">
        <v>40603</v>
      </c>
      <c r="F474" s="172" t="str">
        <f t="shared" si="24"/>
        <v>2010-11</v>
      </c>
      <c r="G474" s="68"/>
      <c r="H474" s="167" t="s">
        <v>279</v>
      </c>
      <c r="I474" s="173">
        <v>89592.114709699614</v>
      </c>
      <c r="J474" s="168">
        <f>IFERROR(MIN('MP Calculations'!$E$30/I474,1),"-")</f>
        <v>0.31014580161562261</v>
      </c>
      <c r="K474" s="12"/>
      <c r="L474" s="159">
        <v>1</v>
      </c>
      <c r="M474" s="159" t="s">
        <v>409</v>
      </c>
      <c r="N474" s="159">
        <v>2660.17</v>
      </c>
      <c r="O474" s="185">
        <f t="shared" si="26"/>
        <v>2660.17</v>
      </c>
      <c r="P474" s="215">
        <f t="shared" si="25"/>
        <v>825.04055708383078</v>
      </c>
      <c r="Q474" s="215" cm="1">
        <f t="array" ref="Q474">IF(P474="-",0,P474/(1+'General inputs'!$H$32)^IFERROR(INDEX('MP Calculations'!$C$40:$C$130,MATCH(F474,'MP Calculations'!$D$40:$D$130,0),0),-1))</f>
        <v>1351.7236910646241</v>
      </c>
    </row>
    <row r="475" spans="3:17" x14ac:dyDescent="0.25">
      <c r="C475" s="159"/>
      <c r="D475" s="165" t="s">
        <v>672</v>
      </c>
      <c r="E475" s="161">
        <v>40603</v>
      </c>
      <c r="F475" s="172" t="str">
        <f t="shared" si="24"/>
        <v>2010-11</v>
      </c>
      <c r="G475" s="68"/>
      <c r="H475" s="167" t="s">
        <v>279</v>
      </c>
      <c r="I475" s="173">
        <v>89592.114709699614</v>
      </c>
      <c r="J475" s="168">
        <f>IFERROR(MIN('MP Calculations'!$E$30/I475,1),"-")</f>
        <v>0.31014580161562261</v>
      </c>
      <c r="K475" s="12"/>
      <c r="L475" s="159">
        <v>1</v>
      </c>
      <c r="M475" s="159" t="s">
        <v>409</v>
      </c>
      <c r="N475" s="159">
        <v>2212.42</v>
      </c>
      <c r="O475" s="185">
        <f t="shared" si="26"/>
        <v>2212.42</v>
      </c>
      <c r="P475" s="215">
        <f t="shared" si="25"/>
        <v>686.17277441043575</v>
      </c>
      <c r="Q475" s="215" cm="1">
        <f t="array" ref="Q475">IF(P475="-",0,P475/(1+'General inputs'!$H$32)^IFERROR(INDEX('MP Calculations'!$C$40:$C$130,MATCH(F475,'MP Calculations'!$D$40:$D$130,0),0),-1))</f>
        <v>1124.2065464181596</v>
      </c>
    </row>
    <row r="476" spans="3:17" x14ac:dyDescent="0.25">
      <c r="C476" s="159"/>
      <c r="D476" s="165" t="s">
        <v>673</v>
      </c>
      <c r="E476" s="161">
        <v>40603</v>
      </c>
      <c r="F476" s="172" t="str">
        <f t="shared" si="24"/>
        <v>2010-11</v>
      </c>
      <c r="G476" s="68"/>
      <c r="H476" s="167" t="s">
        <v>279</v>
      </c>
      <c r="I476" s="173">
        <v>89592.114709699614</v>
      </c>
      <c r="J476" s="168">
        <f>IFERROR(MIN('MP Calculations'!$E$30/I476,1),"-")</f>
        <v>0.31014580161562261</v>
      </c>
      <c r="K476" s="12"/>
      <c r="L476" s="159">
        <v>1</v>
      </c>
      <c r="M476" s="159" t="s">
        <v>409</v>
      </c>
      <c r="N476" s="159">
        <v>39494.67</v>
      </c>
      <c r="O476" s="185">
        <f t="shared" si="26"/>
        <v>39494.67</v>
      </c>
      <c r="P476" s="215">
        <f t="shared" si="25"/>
        <v>12249.106086694481</v>
      </c>
      <c r="Q476" s="215" cm="1">
        <f t="array" ref="Q476">IF(P476="-",0,P476/(1+'General inputs'!$H$32)^IFERROR(INDEX('MP Calculations'!$C$40:$C$130,MATCH(F476,'MP Calculations'!$D$40:$D$130,0),0),-1))</f>
        <v>20068.597536916543</v>
      </c>
    </row>
    <row r="477" spans="3:17" x14ac:dyDescent="0.25">
      <c r="C477" s="159"/>
      <c r="D477" s="165" t="s">
        <v>674</v>
      </c>
      <c r="E477" s="161">
        <v>40633</v>
      </c>
      <c r="F477" s="172" t="str">
        <f t="shared" si="24"/>
        <v>2010-11</v>
      </c>
      <c r="G477" s="68"/>
      <c r="H477" s="167" t="s">
        <v>279</v>
      </c>
      <c r="I477" s="173">
        <v>89592.114709699614</v>
      </c>
      <c r="J477" s="168">
        <f>IFERROR(MIN('MP Calculations'!$E$30/I477,1),"-")</f>
        <v>0.31014580161562261</v>
      </c>
      <c r="K477" s="12"/>
      <c r="L477" s="159">
        <v>1</v>
      </c>
      <c r="M477" s="159" t="s">
        <v>409</v>
      </c>
      <c r="N477" s="159">
        <v>139289.18</v>
      </c>
      <c r="O477" s="185">
        <f t="shared" si="26"/>
        <v>139289.18</v>
      </c>
      <c r="P477" s="215">
        <f t="shared" si="25"/>
        <v>43199.954387482743</v>
      </c>
      <c r="Q477" s="215" cm="1">
        <f t="array" ref="Q477">IF(P477="-",0,P477/(1+'General inputs'!$H$32)^IFERROR(INDEX('MP Calculations'!$C$40:$C$130,MATCH(F477,'MP Calculations'!$D$40:$D$130,0),0),-1))</f>
        <v>70777.613654377274</v>
      </c>
    </row>
    <row r="478" spans="3:17" x14ac:dyDescent="0.25">
      <c r="C478" s="159"/>
      <c r="D478" s="165" t="s">
        <v>675</v>
      </c>
      <c r="E478" s="161">
        <v>40633</v>
      </c>
      <c r="F478" s="172" t="str">
        <f t="shared" si="24"/>
        <v>2010-11</v>
      </c>
      <c r="G478" s="68"/>
      <c r="H478" s="167" t="s">
        <v>279</v>
      </c>
      <c r="I478" s="173">
        <v>89592.114709699614</v>
      </c>
      <c r="J478" s="168">
        <f>IFERROR(MIN('MP Calculations'!$E$30/I478,1),"-")</f>
        <v>0.31014580161562261</v>
      </c>
      <c r="K478" s="12"/>
      <c r="L478" s="159">
        <v>1</v>
      </c>
      <c r="M478" s="159" t="s">
        <v>409</v>
      </c>
      <c r="N478" s="159">
        <v>155995.65</v>
      </c>
      <c r="O478" s="185">
        <f t="shared" si="26"/>
        <v>155995.65</v>
      </c>
      <c r="P478" s="215">
        <f t="shared" si="25"/>
        <v>48381.395917800095</v>
      </c>
      <c r="Q478" s="215" cm="1">
        <f t="array" ref="Q478">IF(P478="-",0,P478/(1+'General inputs'!$H$32)^IFERROR(INDEX('MP Calculations'!$C$40:$C$130,MATCH(F478,'MP Calculations'!$D$40:$D$130,0),0),-1))</f>
        <v>79266.744534381345</v>
      </c>
    </row>
    <row r="479" spans="3:17" x14ac:dyDescent="0.25">
      <c r="C479" s="159"/>
      <c r="D479" s="165" t="s">
        <v>676</v>
      </c>
      <c r="E479" s="161">
        <v>40633</v>
      </c>
      <c r="F479" s="172" t="str">
        <f t="shared" si="24"/>
        <v>2010-11</v>
      </c>
      <c r="G479" s="68"/>
      <c r="H479" s="167" t="s">
        <v>279</v>
      </c>
      <c r="I479" s="173">
        <v>89592.114709699614</v>
      </c>
      <c r="J479" s="168">
        <f>IFERROR(MIN('MP Calculations'!$E$30/I479,1),"-")</f>
        <v>0.31014580161562261</v>
      </c>
      <c r="K479" s="12"/>
      <c r="L479" s="159">
        <v>1</v>
      </c>
      <c r="M479" s="159" t="s">
        <v>409</v>
      </c>
      <c r="N479" s="159">
        <v>29942.79</v>
      </c>
      <c r="O479" s="185">
        <f t="shared" si="26"/>
        <v>29942.79</v>
      </c>
      <c r="P479" s="215">
        <f t="shared" si="25"/>
        <v>9286.6306071582494</v>
      </c>
      <c r="Q479" s="215" cm="1">
        <f t="array" ref="Q479">IF(P479="-",0,P479/(1+'General inputs'!$H$32)^IFERROR(INDEX('MP Calculations'!$C$40:$C$130,MATCH(F479,'MP Calculations'!$D$40:$D$130,0),0),-1))</f>
        <v>15214.95942724447</v>
      </c>
    </row>
    <row r="480" spans="3:17" x14ac:dyDescent="0.25">
      <c r="C480" s="159"/>
      <c r="D480" s="165" t="s">
        <v>677</v>
      </c>
      <c r="E480" s="161">
        <v>40633</v>
      </c>
      <c r="F480" s="172" t="str">
        <f t="shared" si="24"/>
        <v>2010-11</v>
      </c>
      <c r="G480" s="68"/>
      <c r="H480" s="167" t="s">
        <v>279</v>
      </c>
      <c r="I480" s="173">
        <v>89592.114709699614</v>
      </c>
      <c r="J480" s="168">
        <f>IFERROR(MIN('MP Calculations'!$E$30/I480,1),"-")</f>
        <v>0.31014580161562261</v>
      </c>
      <c r="K480" s="12"/>
      <c r="L480" s="159">
        <v>1</v>
      </c>
      <c r="M480" s="159" t="s">
        <v>409</v>
      </c>
      <c r="N480" s="159">
        <v>2097346.6</v>
      </c>
      <c r="O480" s="185">
        <f t="shared" si="26"/>
        <v>2097346.6</v>
      </c>
      <c r="P480" s="215">
        <f t="shared" si="25"/>
        <v>650483.24252280057</v>
      </c>
      <c r="Q480" s="215" cm="1">
        <f t="array" ref="Q480">IF(P480="-",0,P480/(1+'General inputs'!$H$32)^IFERROR(INDEX('MP Calculations'!$C$40:$C$130,MATCH(F480,'MP Calculations'!$D$40:$D$130,0),0),-1))</f>
        <v>1065733.8018223797</v>
      </c>
    </row>
    <row r="481" spans="3:17" x14ac:dyDescent="0.25">
      <c r="C481" s="159"/>
      <c r="D481" s="165" t="s">
        <v>678</v>
      </c>
      <c r="E481" s="161">
        <v>40633</v>
      </c>
      <c r="F481" s="172" t="str">
        <f t="shared" si="24"/>
        <v>2010-11</v>
      </c>
      <c r="G481" s="68"/>
      <c r="H481" s="167" t="s">
        <v>279</v>
      </c>
      <c r="I481" s="173">
        <v>89592.114709699614</v>
      </c>
      <c r="J481" s="168">
        <f>IFERROR(MIN('MP Calculations'!$E$30/I481,1),"-")</f>
        <v>0.31014580161562261</v>
      </c>
      <c r="K481" s="12"/>
      <c r="L481" s="159">
        <v>1</v>
      </c>
      <c r="M481" s="159" t="s">
        <v>409</v>
      </c>
      <c r="N481" s="159">
        <v>2198123.35</v>
      </c>
      <c r="O481" s="185">
        <f t="shared" si="26"/>
        <v>2198123.35</v>
      </c>
      <c r="P481" s="215">
        <f t="shared" si="25"/>
        <v>681738.72843576781</v>
      </c>
      <c r="Q481" s="215" cm="1">
        <f t="array" ref="Q481">IF(P481="-",0,P481/(1+'General inputs'!$H$32)^IFERROR(INDEX('MP Calculations'!$C$40:$C$130,MATCH(F481,'MP Calculations'!$D$40:$D$130,0),0),-1))</f>
        <v>1116941.9278006055</v>
      </c>
    </row>
    <row r="482" spans="3:17" x14ac:dyDescent="0.25">
      <c r="C482" s="159"/>
      <c r="D482" s="165" t="s">
        <v>679</v>
      </c>
      <c r="E482" s="161">
        <v>40633</v>
      </c>
      <c r="F482" s="172" t="str">
        <f t="shared" si="24"/>
        <v>2010-11</v>
      </c>
      <c r="G482" s="68"/>
      <c r="H482" s="167" t="s">
        <v>279</v>
      </c>
      <c r="I482" s="173">
        <v>89592.114709699614</v>
      </c>
      <c r="J482" s="168">
        <f>IFERROR(MIN('MP Calculations'!$E$30/I482,1),"-")</f>
        <v>0.31014580161562261</v>
      </c>
      <c r="K482" s="12"/>
      <c r="L482" s="159">
        <v>1</v>
      </c>
      <c r="M482" s="159" t="s">
        <v>409</v>
      </c>
      <c r="N482" s="159">
        <v>761031.83</v>
      </c>
      <c r="O482" s="185">
        <f t="shared" si="26"/>
        <v>761031.83</v>
      </c>
      <c r="P482" s="215">
        <f t="shared" si="25"/>
        <v>236030.82697035422</v>
      </c>
      <c r="Q482" s="215" cm="1">
        <f t="array" ref="Q482">IF(P482="-",0,P482/(1+'General inputs'!$H$32)^IFERROR(INDEX('MP Calculations'!$C$40:$C$130,MATCH(F482,'MP Calculations'!$D$40:$D$130,0),0),-1))</f>
        <v>386706.39630747866</v>
      </c>
    </row>
    <row r="483" spans="3:17" x14ac:dyDescent="0.25">
      <c r="C483" s="159"/>
      <c r="D483" s="165" t="s">
        <v>680</v>
      </c>
      <c r="E483" s="161">
        <v>40633</v>
      </c>
      <c r="F483" s="172" t="str">
        <f t="shared" si="24"/>
        <v>2010-11</v>
      </c>
      <c r="G483" s="68"/>
      <c r="H483" s="167" t="s">
        <v>279</v>
      </c>
      <c r="I483" s="173">
        <v>89592.114709699614</v>
      </c>
      <c r="J483" s="168">
        <f>IFERROR(MIN('MP Calculations'!$E$30/I483,1),"-")</f>
        <v>0.31014580161562261</v>
      </c>
      <c r="K483" s="12"/>
      <c r="L483" s="159">
        <v>1</v>
      </c>
      <c r="M483" s="159" t="s">
        <v>409</v>
      </c>
      <c r="N483" s="159">
        <v>405641.15</v>
      </c>
      <c r="O483" s="185">
        <f t="shared" si="26"/>
        <v>405641.15</v>
      </c>
      <c r="P483" s="215">
        <f t="shared" si="25"/>
        <v>125807.89963503301</v>
      </c>
      <c r="Q483" s="215" cm="1">
        <f t="array" ref="Q483">IF(P483="-",0,P483/(1+'General inputs'!$H$32)^IFERROR(INDEX('MP Calculations'!$C$40:$C$130,MATCH(F483,'MP Calculations'!$D$40:$D$130,0),0),-1))</f>
        <v>206120.19251615455</v>
      </c>
    </row>
    <row r="484" spans="3:17" x14ac:dyDescent="0.25">
      <c r="C484" s="159"/>
      <c r="D484" s="165" t="s">
        <v>681</v>
      </c>
      <c r="E484" s="161">
        <v>40633</v>
      </c>
      <c r="F484" s="172" t="str">
        <f t="shared" si="24"/>
        <v>2010-11</v>
      </c>
      <c r="G484" s="68"/>
      <c r="H484" s="167" t="s">
        <v>279</v>
      </c>
      <c r="I484" s="173">
        <v>89592.114709699614</v>
      </c>
      <c r="J484" s="168">
        <f>IFERROR(MIN('MP Calculations'!$E$30/I484,1),"-")</f>
        <v>0.31014580161562261</v>
      </c>
      <c r="K484" s="12"/>
      <c r="L484" s="159">
        <v>1</v>
      </c>
      <c r="M484" s="159" t="s">
        <v>409</v>
      </c>
      <c r="N484" s="159">
        <v>26909.78</v>
      </c>
      <c r="O484" s="185">
        <f t="shared" si="26"/>
        <v>26909.78</v>
      </c>
      <c r="P484" s="215">
        <f t="shared" si="25"/>
        <v>8345.9552894000481</v>
      </c>
      <c r="Q484" s="215" cm="1">
        <f t="array" ref="Q484">IF(P484="-",0,P484/(1+'General inputs'!$H$32)^IFERROR(INDEX('MP Calculations'!$C$40:$C$130,MATCH(F484,'MP Calculations'!$D$40:$D$130,0),0),-1))</f>
        <v>13673.782933924147</v>
      </c>
    </row>
    <row r="485" spans="3:17" x14ac:dyDescent="0.25">
      <c r="C485" s="159"/>
      <c r="D485" s="165" t="s">
        <v>682</v>
      </c>
      <c r="E485" s="161">
        <v>40633</v>
      </c>
      <c r="F485" s="172" t="str">
        <f t="shared" si="24"/>
        <v>2010-11</v>
      </c>
      <c r="G485" s="68"/>
      <c r="H485" s="167" t="s">
        <v>279</v>
      </c>
      <c r="I485" s="173">
        <v>89592.114709699614</v>
      </c>
      <c r="J485" s="168">
        <f>IFERROR(MIN('MP Calculations'!$E$30/I485,1),"-")</f>
        <v>0.31014580161562261</v>
      </c>
      <c r="K485" s="12"/>
      <c r="L485" s="159">
        <v>1</v>
      </c>
      <c r="M485" s="159" t="s">
        <v>409</v>
      </c>
      <c r="N485" s="159">
        <v>2353316.04</v>
      </c>
      <c r="O485" s="185">
        <f t="shared" si="26"/>
        <v>2353316.04</v>
      </c>
      <c r="P485" s="215">
        <f t="shared" si="25"/>
        <v>729871.08968070266</v>
      </c>
      <c r="Q485" s="215" cm="1">
        <f t="array" ref="Q485">IF(P485="-",0,P485/(1+'General inputs'!$H$32)^IFERROR(INDEX('MP Calculations'!$C$40:$C$130,MATCH(F485,'MP Calculations'!$D$40:$D$130,0),0),-1))</f>
        <v>1195800.6607962593</v>
      </c>
    </row>
    <row r="486" spans="3:17" x14ac:dyDescent="0.25">
      <c r="C486" s="159"/>
      <c r="D486" s="165" t="s">
        <v>683</v>
      </c>
      <c r="E486" s="161">
        <v>40633</v>
      </c>
      <c r="F486" s="172" t="str">
        <f t="shared" si="24"/>
        <v>2010-11</v>
      </c>
      <c r="G486" s="68"/>
      <c r="H486" s="167" t="s">
        <v>279</v>
      </c>
      <c r="I486" s="173">
        <v>89592.114709699614</v>
      </c>
      <c r="J486" s="168">
        <f>IFERROR(MIN('MP Calculations'!$E$30/I486,1),"-")</f>
        <v>0.31014580161562261</v>
      </c>
      <c r="K486" s="12"/>
      <c r="L486" s="159">
        <v>1</v>
      </c>
      <c r="M486" s="159" t="s">
        <v>409</v>
      </c>
      <c r="N486" s="159">
        <v>118982.7</v>
      </c>
      <c r="O486" s="185">
        <f t="shared" si="26"/>
        <v>118982.7</v>
      </c>
      <c r="P486" s="215">
        <f t="shared" si="25"/>
        <v>36901.984869891137</v>
      </c>
      <c r="Q486" s="215" cm="1">
        <f t="array" ref="Q486">IF(P486="-",0,P486/(1+'General inputs'!$H$32)^IFERROR(INDEX('MP Calculations'!$C$40:$C$130,MATCH(F486,'MP Calculations'!$D$40:$D$130,0),0),-1))</f>
        <v>60459.194117983003</v>
      </c>
    </row>
    <row r="487" spans="3:17" x14ac:dyDescent="0.25">
      <c r="C487" s="159"/>
      <c r="D487" s="165" t="s">
        <v>684</v>
      </c>
      <c r="E487" s="161">
        <v>40633</v>
      </c>
      <c r="F487" s="172" t="str">
        <f t="shared" si="24"/>
        <v>2010-11</v>
      </c>
      <c r="G487" s="68"/>
      <c r="H487" s="167" t="s">
        <v>279</v>
      </c>
      <c r="I487" s="173">
        <v>89592.114709699614</v>
      </c>
      <c r="J487" s="168">
        <f>IFERROR(MIN('MP Calculations'!$E$30/I487,1),"-")</f>
        <v>0.31014580161562261</v>
      </c>
      <c r="K487" s="12"/>
      <c r="L487" s="159">
        <v>1</v>
      </c>
      <c r="M487" s="159" t="s">
        <v>409</v>
      </c>
      <c r="N487" s="159">
        <v>250346.23</v>
      </c>
      <c r="O487" s="185">
        <f t="shared" si="26"/>
        <v>250346.23</v>
      </c>
      <c r="P487" s="215">
        <f t="shared" si="25"/>
        <v>77643.83218479903</v>
      </c>
      <c r="Q487" s="215" cm="1">
        <f t="array" ref="Q487">IF(P487="-",0,P487/(1+'General inputs'!$H$32)^IFERROR(INDEX('MP Calculations'!$C$40:$C$130,MATCH(F487,'MP Calculations'!$D$40:$D$130,0),0),-1))</f>
        <v>127209.51294831283</v>
      </c>
    </row>
    <row r="488" spans="3:17" x14ac:dyDescent="0.25">
      <c r="C488" s="159"/>
      <c r="D488" s="165" t="s">
        <v>685</v>
      </c>
      <c r="E488" s="161">
        <v>40633</v>
      </c>
      <c r="F488" s="172" t="str">
        <f t="shared" si="24"/>
        <v>2010-11</v>
      </c>
      <c r="G488" s="68"/>
      <c r="H488" s="167" t="s">
        <v>279</v>
      </c>
      <c r="I488" s="173">
        <v>89592.114709699614</v>
      </c>
      <c r="J488" s="168">
        <f>IFERROR(MIN('MP Calculations'!$E$30/I488,1),"-")</f>
        <v>0.31014580161562261</v>
      </c>
      <c r="K488" s="12"/>
      <c r="L488" s="159">
        <v>1</v>
      </c>
      <c r="M488" s="159" t="s">
        <v>409</v>
      </c>
      <c r="N488" s="159">
        <v>167268.37</v>
      </c>
      <c r="O488" s="185">
        <f t="shared" si="26"/>
        <v>167268.37</v>
      </c>
      <c r="P488" s="215">
        <f t="shared" si="25"/>
        <v>51877.582698588558</v>
      </c>
      <c r="Q488" s="215" cm="1">
        <f t="array" ref="Q488">IF(P488="-",0,P488/(1+'General inputs'!$H$32)^IFERROR(INDEX('MP Calculations'!$C$40:$C$130,MATCH(F488,'MP Calculations'!$D$40:$D$130,0),0),-1))</f>
        <v>84994.800518298915</v>
      </c>
    </row>
    <row r="489" spans="3:17" x14ac:dyDescent="0.25">
      <c r="C489" s="159"/>
      <c r="D489" s="165" t="s">
        <v>686</v>
      </c>
      <c r="E489" s="161">
        <v>40633</v>
      </c>
      <c r="F489" s="172" t="str">
        <f t="shared" si="24"/>
        <v>2010-11</v>
      </c>
      <c r="G489" s="68"/>
      <c r="H489" s="167" t="s">
        <v>279</v>
      </c>
      <c r="I489" s="173">
        <v>89592.114709699614</v>
      </c>
      <c r="J489" s="168">
        <f>IFERROR(MIN('MP Calculations'!$E$30/I489,1),"-")</f>
        <v>0.31014580161562261</v>
      </c>
      <c r="K489" s="12"/>
      <c r="L489" s="159">
        <v>1</v>
      </c>
      <c r="M489" s="159" t="s">
        <v>409</v>
      </c>
      <c r="N489" s="159">
        <v>745235.83</v>
      </c>
      <c r="O489" s="185">
        <f t="shared" si="26"/>
        <v>745235.83</v>
      </c>
      <c r="P489" s="215">
        <f t="shared" si="25"/>
        <v>231131.76388803383</v>
      </c>
      <c r="Q489" s="215" cm="1">
        <f t="array" ref="Q489">IF(P489="-",0,P489/(1+'General inputs'!$H$32)^IFERROR(INDEX('MP Calculations'!$C$40:$C$130,MATCH(F489,'MP Calculations'!$D$40:$D$130,0),0),-1))</f>
        <v>378679.90648763377</v>
      </c>
    </row>
    <row r="490" spans="3:17" ht="23" x14ac:dyDescent="0.25">
      <c r="C490" s="159"/>
      <c r="D490" s="165" t="s">
        <v>687</v>
      </c>
      <c r="E490" s="161">
        <v>40633</v>
      </c>
      <c r="F490" s="172" t="str">
        <f t="shared" si="24"/>
        <v>2010-11</v>
      </c>
      <c r="G490" s="68"/>
      <c r="H490" s="167" t="s">
        <v>279</v>
      </c>
      <c r="I490" s="173">
        <v>89592.114709699614</v>
      </c>
      <c r="J490" s="168">
        <f>IFERROR(MIN('MP Calculations'!$E$30/I490,1),"-")</f>
        <v>0.31014580161562261</v>
      </c>
      <c r="K490" s="12"/>
      <c r="L490" s="159">
        <v>1</v>
      </c>
      <c r="M490" s="159" t="s">
        <v>409</v>
      </c>
      <c r="N490" s="159">
        <v>259375.34</v>
      </c>
      <c r="O490" s="185">
        <f t="shared" si="26"/>
        <v>259375.34</v>
      </c>
      <c r="P490" s="215">
        <f t="shared" si="25"/>
        <v>80444.172743624658</v>
      </c>
      <c r="Q490" s="215" cm="1">
        <f t="array" ref="Q490">IF(P490="-",0,P490/(1+'General inputs'!$H$32)^IFERROR(INDEX('MP Calculations'!$C$40:$C$130,MATCH(F490,'MP Calculations'!$D$40:$D$130,0),0),-1))</f>
        <v>131797.51367617174</v>
      </c>
    </row>
    <row r="491" spans="3:17" x14ac:dyDescent="0.25">
      <c r="C491" s="159"/>
      <c r="D491" s="165" t="s">
        <v>688</v>
      </c>
      <c r="E491" s="161">
        <v>40633</v>
      </c>
      <c r="F491" s="172" t="str">
        <f t="shared" si="24"/>
        <v>2010-11</v>
      </c>
      <c r="G491" s="68"/>
      <c r="H491" s="167" t="s">
        <v>279</v>
      </c>
      <c r="I491" s="173">
        <v>89592.114709699614</v>
      </c>
      <c r="J491" s="168">
        <f>IFERROR(MIN('MP Calculations'!$E$30/I491,1),"-")</f>
        <v>0.31014580161562261</v>
      </c>
      <c r="K491" s="12"/>
      <c r="L491" s="159">
        <v>1</v>
      </c>
      <c r="M491" s="159" t="s">
        <v>409</v>
      </c>
      <c r="N491" s="159">
        <v>961601.39</v>
      </c>
      <c r="O491" s="185">
        <f t="shared" si="26"/>
        <v>961601.39</v>
      </c>
      <c r="P491" s="215">
        <f t="shared" si="25"/>
        <v>298236.63393624697</v>
      </c>
      <c r="Q491" s="215" cm="1">
        <f t="array" ref="Q491">IF(P491="-",0,P491/(1+'General inputs'!$H$32)^IFERROR(INDEX('MP Calculations'!$C$40:$C$130,MATCH(F491,'MP Calculations'!$D$40:$D$130,0),0),-1))</f>
        <v>488622.67457481037</v>
      </c>
    </row>
    <row r="492" spans="3:17" x14ac:dyDescent="0.25">
      <c r="C492" s="159"/>
      <c r="D492" s="165" t="s">
        <v>689</v>
      </c>
      <c r="E492" s="161">
        <v>40633</v>
      </c>
      <c r="F492" s="172" t="str">
        <f t="shared" si="24"/>
        <v>2010-11</v>
      </c>
      <c r="G492" s="68"/>
      <c r="H492" s="167" t="s">
        <v>279</v>
      </c>
      <c r="I492" s="173">
        <v>89592.114709699614</v>
      </c>
      <c r="J492" s="168">
        <f>IFERROR(MIN('MP Calculations'!$E$30/I492,1),"-")</f>
        <v>0.31014580161562261</v>
      </c>
      <c r="K492" s="12"/>
      <c r="L492" s="159">
        <v>1</v>
      </c>
      <c r="M492" s="159" t="s">
        <v>409</v>
      </c>
      <c r="N492" s="159">
        <v>16312.22</v>
      </c>
      <c r="O492" s="185">
        <f t="shared" si="26"/>
        <v>16312.22</v>
      </c>
      <c r="P492" s="215">
        <f t="shared" si="25"/>
        <v>5059.1665480303909</v>
      </c>
      <c r="Q492" s="215" cm="1">
        <f t="array" ref="Q492">IF(P492="-",0,P492/(1+'General inputs'!$H$32)^IFERROR(INDEX('MP Calculations'!$C$40:$C$130,MATCH(F492,'MP Calculations'!$D$40:$D$130,0),0),-1))</f>
        <v>8288.7989218201019</v>
      </c>
    </row>
    <row r="493" spans="3:17" x14ac:dyDescent="0.25">
      <c r="C493" s="159"/>
      <c r="D493" s="165" t="s">
        <v>690</v>
      </c>
      <c r="E493" s="161">
        <v>40633</v>
      </c>
      <c r="F493" s="172" t="str">
        <f t="shared" si="24"/>
        <v>2010-11</v>
      </c>
      <c r="G493" s="68"/>
      <c r="H493" s="167" t="s">
        <v>279</v>
      </c>
      <c r="I493" s="173">
        <v>89592.114709699614</v>
      </c>
      <c r="J493" s="168">
        <f>IFERROR(MIN('MP Calculations'!$E$30/I493,1),"-")</f>
        <v>0.31014580161562261</v>
      </c>
      <c r="K493" s="12"/>
      <c r="L493" s="159">
        <v>1</v>
      </c>
      <c r="M493" s="159" t="s">
        <v>409</v>
      </c>
      <c r="N493" s="159">
        <v>16312.22</v>
      </c>
      <c r="O493" s="185">
        <f t="shared" si="26"/>
        <v>16312.22</v>
      </c>
      <c r="P493" s="215">
        <f t="shared" si="25"/>
        <v>5059.1665480303909</v>
      </c>
      <c r="Q493" s="215" cm="1">
        <f t="array" ref="Q493">IF(P493="-",0,P493/(1+'General inputs'!$H$32)^IFERROR(INDEX('MP Calculations'!$C$40:$C$130,MATCH(F493,'MP Calculations'!$D$40:$D$130,0),0),-1))</f>
        <v>8288.7989218201019</v>
      </c>
    </row>
    <row r="494" spans="3:17" x14ac:dyDescent="0.25">
      <c r="C494" s="159"/>
      <c r="D494" s="165" t="s">
        <v>691</v>
      </c>
      <c r="E494" s="161">
        <v>40633</v>
      </c>
      <c r="F494" s="172" t="str">
        <f t="shared" si="24"/>
        <v>2010-11</v>
      </c>
      <c r="G494" s="68"/>
      <c r="H494" s="167" t="s">
        <v>279</v>
      </c>
      <c r="I494" s="173">
        <v>89592.114709699614</v>
      </c>
      <c r="J494" s="168">
        <f>IFERROR(MIN('MP Calculations'!$E$30/I494,1),"-")</f>
        <v>0.31014580161562261</v>
      </c>
      <c r="K494" s="12"/>
      <c r="L494" s="159">
        <v>1</v>
      </c>
      <c r="M494" s="159" t="s">
        <v>409</v>
      </c>
      <c r="N494" s="159">
        <v>16312.22</v>
      </c>
      <c r="O494" s="185">
        <f t="shared" si="26"/>
        <v>16312.22</v>
      </c>
      <c r="P494" s="215">
        <f t="shared" si="25"/>
        <v>5059.1665480303909</v>
      </c>
      <c r="Q494" s="215" cm="1">
        <f t="array" ref="Q494">IF(P494="-",0,P494/(1+'General inputs'!$H$32)^IFERROR(INDEX('MP Calculations'!$C$40:$C$130,MATCH(F494,'MP Calculations'!$D$40:$D$130,0),0),-1))</f>
        <v>8288.7989218201019</v>
      </c>
    </row>
    <row r="495" spans="3:17" x14ac:dyDescent="0.25">
      <c r="C495" s="159"/>
      <c r="D495" s="165" t="s">
        <v>692</v>
      </c>
      <c r="E495" s="161">
        <v>40633</v>
      </c>
      <c r="F495" s="172" t="str">
        <f t="shared" si="24"/>
        <v>2010-11</v>
      </c>
      <c r="G495" s="68"/>
      <c r="H495" s="167" t="s">
        <v>279</v>
      </c>
      <c r="I495" s="173">
        <v>89592.114709699614</v>
      </c>
      <c r="J495" s="168">
        <f>IFERROR(MIN('MP Calculations'!$E$30/I495,1),"-")</f>
        <v>0.31014580161562261</v>
      </c>
      <c r="K495" s="12"/>
      <c r="L495" s="159">
        <v>1</v>
      </c>
      <c r="M495" s="159" t="s">
        <v>409</v>
      </c>
      <c r="N495" s="159">
        <v>2237447.96</v>
      </c>
      <c r="O495" s="185">
        <f t="shared" si="26"/>
        <v>2237447.96</v>
      </c>
      <c r="P495" s="215">
        <f t="shared" si="25"/>
        <v>693935.09112743952</v>
      </c>
      <c r="Q495" s="215" cm="1">
        <f t="array" ref="Q495">IF(P495="-",0,P495/(1+'General inputs'!$H$32)^IFERROR(INDEX('MP Calculations'!$C$40:$C$130,MATCH(F495,'MP Calculations'!$D$40:$D$130,0),0),-1))</f>
        <v>1136924.1120139742</v>
      </c>
    </row>
    <row r="496" spans="3:17" x14ac:dyDescent="0.25">
      <c r="C496" s="159"/>
      <c r="D496" s="165" t="s">
        <v>692</v>
      </c>
      <c r="E496" s="161">
        <v>40633</v>
      </c>
      <c r="F496" s="172" t="str">
        <f t="shared" si="24"/>
        <v>2010-11</v>
      </c>
      <c r="G496" s="68"/>
      <c r="H496" s="167" t="s">
        <v>279</v>
      </c>
      <c r="I496" s="173">
        <v>89592.114709699614</v>
      </c>
      <c r="J496" s="168">
        <f>IFERROR(MIN('MP Calculations'!$E$30/I496,1),"-")</f>
        <v>0.31014580161562261</v>
      </c>
      <c r="K496" s="12"/>
      <c r="L496" s="159">
        <v>1</v>
      </c>
      <c r="M496" s="159" t="s">
        <v>409</v>
      </c>
      <c r="N496" s="159">
        <v>894037.81</v>
      </c>
      <c r="O496" s="185">
        <f t="shared" si="26"/>
        <v>894037.81</v>
      </c>
      <c r="P496" s="215">
        <f t="shared" si="25"/>
        <v>277282.07325712574</v>
      </c>
      <c r="Q496" s="215" cm="1">
        <f t="array" ref="Q496">IF(P496="-",0,P496/(1+'General inputs'!$H$32)^IFERROR(INDEX('MP Calculations'!$C$40:$C$130,MATCH(F496,'MP Calculations'!$D$40:$D$130,0),0),-1))</f>
        <v>454291.3003622074</v>
      </c>
    </row>
    <row r="497" spans="3:17" x14ac:dyDescent="0.25">
      <c r="C497" s="159"/>
      <c r="D497" s="165" t="s">
        <v>693</v>
      </c>
      <c r="E497" s="161">
        <v>40633</v>
      </c>
      <c r="F497" s="172" t="str">
        <f t="shared" si="24"/>
        <v>2010-11</v>
      </c>
      <c r="G497" s="68"/>
      <c r="H497" s="167" t="s">
        <v>279</v>
      </c>
      <c r="I497" s="173">
        <v>89592.114709699614</v>
      </c>
      <c r="J497" s="168">
        <f>IFERROR(MIN('MP Calculations'!$E$30/I497,1),"-")</f>
        <v>0.31014580161562261</v>
      </c>
      <c r="K497" s="12"/>
      <c r="L497" s="159">
        <v>1</v>
      </c>
      <c r="M497" s="159" t="s">
        <v>409</v>
      </c>
      <c r="N497" s="159">
        <v>168939.68</v>
      </c>
      <c r="O497" s="185">
        <f t="shared" si="26"/>
        <v>168939.68</v>
      </c>
      <c r="P497" s="215">
        <f t="shared" si="25"/>
        <v>52395.932478286762</v>
      </c>
      <c r="Q497" s="215" cm="1">
        <f t="array" ref="Q497">IF(P497="-",0,P497/(1+'General inputs'!$H$32)^IFERROR(INDEX('MP Calculations'!$C$40:$C$130,MATCH(F497,'MP Calculations'!$D$40:$D$130,0),0),-1))</f>
        <v>85844.05049935772</v>
      </c>
    </row>
    <row r="498" spans="3:17" x14ac:dyDescent="0.25">
      <c r="C498" s="159"/>
      <c r="D498" s="165" t="s">
        <v>694</v>
      </c>
      <c r="E498" s="161">
        <v>40633</v>
      </c>
      <c r="F498" s="172" t="str">
        <f t="shared" si="24"/>
        <v>2010-11</v>
      </c>
      <c r="G498" s="68"/>
      <c r="H498" s="167" t="s">
        <v>279</v>
      </c>
      <c r="I498" s="173">
        <v>89592.114709699614</v>
      </c>
      <c r="J498" s="168">
        <f>IFERROR(MIN('MP Calculations'!$E$30/I498,1),"-")</f>
        <v>0.31014580161562261</v>
      </c>
      <c r="K498" s="12"/>
      <c r="L498" s="159">
        <v>1</v>
      </c>
      <c r="M498" s="159" t="s">
        <v>409</v>
      </c>
      <c r="N498" s="159">
        <v>154625.91</v>
      </c>
      <c r="O498" s="185">
        <f t="shared" si="26"/>
        <v>154625.91</v>
      </c>
      <c r="P498" s="215">
        <f t="shared" si="25"/>
        <v>47956.576807495119</v>
      </c>
      <c r="Q498" s="215" cm="1">
        <f t="array" ref="Q498">IF(P498="-",0,P498/(1+'General inputs'!$H$32)^IFERROR(INDEX('MP Calculations'!$C$40:$C$130,MATCH(F498,'MP Calculations'!$D$40:$D$130,0),0),-1))</f>
        <v>78570.732622135576</v>
      </c>
    </row>
    <row r="499" spans="3:17" x14ac:dyDescent="0.25">
      <c r="C499" s="159"/>
      <c r="D499" s="165" t="s">
        <v>695</v>
      </c>
      <c r="E499" s="161">
        <v>40633</v>
      </c>
      <c r="F499" s="172" t="str">
        <f t="shared" si="24"/>
        <v>2010-11</v>
      </c>
      <c r="G499" s="68"/>
      <c r="H499" s="167" t="s">
        <v>279</v>
      </c>
      <c r="I499" s="173">
        <v>89592.114709699614</v>
      </c>
      <c r="J499" s="168">
        <f>IFERROR(MIN('MP Calculations'!$E$30/I499,1),"-")</f>
        <v>0.31014580161562261</v>
      </c>
      <c r="K499" s="12"/>
      <c r="L499" s="159">
        <v>1</v>
      </c>
      <c r="M499" s="159" t="s">
        <v>409</v>
      </c>
      <c r="N499" s="159">
        <v>2584649.2599999998</v>
      </c>
      <c r="O499" s="185">
        <f t="shared" si="26"/>
        <v>2584649.2599999998</v>
      </c>
      <c r="P499" s="215">
        <f t="shared" si="25"/>
        <v>801618.11663792573</v>
      </c>
      <c r="Q499" s="215" cm="1">
        <f t="array" ref="Q499">IF(P499="-",0,P499/(1+'General inputs'!$H$32)^IFERROR(INDEX('MP Calculations'!$C$40:$C$130,MATCH(F499,'MP Calculations'!$D$40:$D$130,0),0),-1))</f>
        <v>1313349.0107153486</v>
      </c>
    </row>
    <row r="500" spans="3:17" x14ac:dyDescent="0.25">
      <c r="C500" s="159"/>
      <c r="D500" s="165" t="s">
        <v>696</v>
      </c>
      <c r="E500" s="161">
        <v>40633</v>
      </c>
      <c r="F500" s="172" t="str">
        <f t="shared" si="24"/>
        <v>2010-11</v>
      </c>
      <c r="G500" s="68"/>
      <c r="H500" s="167" t="s">
        <v>279</v>
      </c>
      <c r="I500" s="173">
        <v>89592.114709699614</v>
      </c>
      <c r="J500" s="168">
        <f>IFERROR(MIN('MP Calculations'!$E$30/I500,1),"-")</f>
        <v>0.31014580161562261</v>
      </c>
      <c r="K500" s="12"/>
      <c r="L500" s="159">
        <v>1</v>
      </c>
      <c r="M500" s="159" t="s">
        <v>409</v>
      </c>
      <c r="N500" s="159">
        <v>1124653.47</v>
      </c>
      <c r="O500" s="185">
        <f t="shared" si="26"/>
        <v>1124653.47</v>
      </c>
      <c r="P500" s="215">
        <f t="shared" si="25"/>
        <v>348806.55199294159</v>
      </c>
      <c r="Q500" s="215" cm="1">
        <f t="array" ref="Q500">IF(P500="-",0,P500/(1+'General inputs'!$H$32)^IFERROR(INDEX('MP Calculations'!$C$40:$C$130,MATCH(F500,'MP Calculations'!$D$40:$D$130,0),0),-1))</f>
        <v>571475.03341404407</v>
      </c>
    </row>
    <row r="501" spans="3:17" x14ac:dyDescent="0.25">
      <c r="C501" s="159"/>
      <c r="D501" s="165" t="s">
        <v>697</v>
      </c>
      <c r="E501" s="161">
        <v>40633</v>
      </c>
      <c r="F501" s="172" t="str">
        <f t="shared" si="24"/>
        <v>2010-11</v>
      </c>
      <c r="G501" s="68"/>
      <c r="H501" s="167" t="s">
        <v>279</v>
      </c>
      <c r="I501" s="173">
        <v>89592.114709699614</v>
      </c>
      <c r="J501" s="168">
        <f>IFERROR(MIN('MP Calculations'!$E$30/I501,1),"-")</f>
        <v>0.31014580161562261</v>
      </c>
      <c r="K501" s="12"/>
      <c r="L501" s="159">
        <v>1</v>
      </c>
      <c r="M501" s="159" t="s">
        <v>409</v>
      </c>
      <c r="N501" s="159">
        <v>923109.85</v>
      </c>
      <c r="O501" s="185">
        <f t="shared" si="19"/>
        <v>923109.85</v>
      </c>
      <c r="P501" s="215">
        <f t="shared" si="25"/>
        <v>286298.64440752711</v>
      </c>
      <c r="Q501" s="215" cm="1">
        <f t="array" ref="Q501">IF(P501="-",0,P501/(1+'General inputs'!$H$32)^IFERROR(INDEX('MP Calculations'!$C$40:$C$130,MATCH(F501,'MP Calculations'!$D$40:$D$130,0),0),-1))</f>
        <v>469063.80182473728</v>
      </c>
    </row>
    <row r="502" spans="3:17" x14ac:dyDescent="0.25">
      <c r="C502" s="159"/>
      <c r="D502" s="165" t="s">
        <v>698</v>
      </c>
      <c r="E502" s="161">
        <v>40633</v>
      </c>
      <c r="F502" s="172" t="str">
        <f t="shared" si="24"/>
        <v>2010-11</v>
      </c>
      <c r="G502" s="68"/>
      <c r="H502" s="167" t="s">
        <v>279</v>
      </c>
      <c r="I502" s="173">
        <v>89592.114709699614</v>
      </c>
      <c r="J502" s="168">
        <f>IFERROR(MIN('MP Calculations'!$E$30/I502,1),"-")</f>
        <v>0.31014580161562261</v>
      </c>
      <c r="K502" s="12"/>
      <c r="L502" s="159">
        <v>1</v>
      </c>
      <c r="M502" s="159" t="s">
        <v>409</v>
      </c>
      <c r="N502" s="159">
        <v>2758208.74</v>
      </c>
      <c r="O502" s="185">
        <f t="shared" si="19"/>
        <v>2758208.74</v>
      </c>
      <c r="P502" s="215">
        <f t="shared" si="25"/>
        <v>855446.86069051642</v>
      </c>
      <c r="Q502" s="215" cm="1">
        <f t="array" ref="Q502">IF(P502="-",0,P502/(1+'General inputs'!$H$32)^IFERROR(INDEX('MP Calculations'!$C$40:$C$130,MATCH(F502,'MP Calculations'!$D$40:$D$130,0),0),-1))</f>
        <v>1401540.5401758181</v>
      </c>
    </row>
    <row r="503" spans="3:17" x14ac:dyDescent="0.25">
      <c r="C503" s="159"/>
      <c r="D503" s="165" t="s">
        <v>699</v>
      </c>
      <c r="E503" s="161">
        <v>40633</v>
      </c>
      <c r="F503" s="172" t="str">
        <f t="shared" si="24"/>
        <v>2010-11</v>
      </c>
      <c r="G503" s="68"/>
      <c r="H503" s="167" t="s">
        <v>279</v>
      </c>
      <c r="I503" s="173">
        <v>89592.114709699614</v>
      </c>
      <c r="J503" s="168">
        <f>IFERROR(MIN('MP Calculations'!$E$30/I503,1),"-")</f>
        <v>0.31014580161562261</v>
      </c>
      <c r="K503" s="12"/>
      <c r="L503" s="159">
        <v>1</v>
      </c>
      <c r="M503" s="159" t="s">
        <v>409</v>
      </c>
      <c r="N503" s="159">
        <v>116659.93</v>
      </c>
      <c r="O503" s="185">
        <f t="shared" si="19"/>
        <v>116659.93</v>
      </c>
      <c r="P503" s="215">
        <f t="shared" si="25"/>
        <v>36181.587506272415</v>
      </c>
      <c r="Q503" s="215" cm="1">
        <f t="array" ref="Q503">IF(P503="-",0,P503/(1+'General inputs'!$H$32)^IFERROR(INDEX('MP Calculations'!$C$40:$C$130,MATCH(F503,'MP Calculations'!$D$40:$D$130,0),0),-1))</f>
        <v>59278.914948646387</v>
      </c>
    </row>
    <row r="504" spans="3:17" x14ac:dyDescent="0.25">
      <c r="C504" s="159"/>
      <c r="D504" s="165" t="s">
        <v>700</v>
      </c>
      <c r="E504" s="161">
        <v>40633</v>
      </c>
      <c r="F504" s="172" t="str">
        <f t="shared" si="24"/>
        <v>2010-11</v>
      </c>
      <c r="G504" s="68"/>
      <c r="H504" s="167" t="s">
        <v>279</v>
      </c>
      <c r="I504" s="173">
        <v>89592.114709699614</v>
      </c>
      <c r="J504" s="168">
        <f>IFERROR(MIN('MP Calculations'!$E$30/I504,1),"-")</f>
        <v>0.31014580161562261</v>
      </c>
      <c r="K504" s="12"/>
      <c r="L504" s="159">
        <v>1</v>
      </c>
      <c r="M504" s="159" t="s">
        <v>409</v>
      </c>
      <c r="N504" s="159">
        <v>271734.03999999998</v>
      </c>
      <c r="O504" s="185">
        <f t="shared" si="19"/>
        <v>271734.03999999998</v>
      </c>
      <c r="P504" s="215">
        <f t="shared" si="25"/>
        <v>84277.171662051653</v>
      </c>
      <c r="Q504" s="215" cm="1">
        <f t="array" ref="Q504">IF(P504="-",0,P504/(1+'General inputs'!$H$32)^IFERROR(INDEX('MP Calculations'!$C$40:$C$130,MATCH(F504,'MP Calculations'!$D$40:$D$130,0),0),-1))</f>
        <v>138077.39337587531</v>
      </c>
    </row>
    <row r="505" spans="3:17" x14ac:dyDescent="0.25">
      <c r="C505" s="159"/>
      <c r="D505" s="165" t="s">
        <v>701</v>
      </c>
      <c r="E505" s="161">
        <v>40633</v>
      </c>
      <c r="F505" s="172" t="str">
        <f t="shared" si="24"/>
        <v>2010-11</v>
      </c>
      <c r="G505" s="68"/>
      <c r="H505" s="167" t="s">
        <v>279</v>
      </c>
      <c r="I505" s="173">
        <v>89592.114709699614</v>
      </c>
      <c r="J505" s="168">
        <f>IFERROR(MIN('MP Calculations'!$E$30/I505,1),"-")</f>
        <v>0.31014580161562261</v>
      </c>
      <c r="K505" s="12"/>
      <c r="L505" s="159">
        <v>1</v>
      </c>
      <c r="M505" s="159" t="s">
        <v>409</v>
      </c>
      <c r="N505" s="159">
        <v>192661.41</v>
      </c>
      <c r="O505" s="185">
        <f t="shared" si="19"/>
        <v>192661.41</v>
      </c>
      <c r="P505" s="215">
        <f t="shared" si="25"/>
        <v>59753.127444846134</v>
      </c>
      <c r="Q505" s="215" cm="1">
        <f t="array" ref="Q505">IF(P505="-",0,P505/(1+'General inputs'!$H$32)^IFERROR(INDEX('MP Calculations'!$C$40:$C$130,MATCH(F505,'MP Calculations'!$D$40:$D$130,0),0),-1))</f>
        <v>97897.875793996209</v>
      </c>
    </row>
    <row r="506" spans="3:17" x14ac:dyDescent="0.25">
      <c r="C506" s="159"/>
      <c r="D506" s="165" t="s">
        <v>702</v>
      </c>
      <c r="E506" s="161">
        <v>40633</v>
      </c>
      <c r="F506" s="172" t="str">
        <f t="shared" si="24"/>
        <v>2010-11</v>
      </c>
      <c r="G506" s="68"/>
      <c r="H506" s="167" t="s">
        <v>279</v>
      </c>
      <c r="I506" s="173">
        <v>89592.114709699614</v>
      </c>
      <c r="J506" s="168">
        <f>IFERROR(MIN('MP Calculations'!$E$30/I506,1),"-")</f>
        <v>0.31014580161562261</v>
      </c>
      <c r="K506" s="12"/>
      <c r="L506" s="159">
        <v>1</v>
      </c>
      <c r="M506" s="159" t="s">
        <v>409</v>
      </c>
      <c r="N506" s="159">
        <v>89201.22</v>
      </c>
      <c r="O506" s="185">
        <f t="shared" si="19"/>
        <v>89201.22</v>
      </c>
      <c r="P506" s="215">
        <f t="shared" si="25"/>
        <v>27665.383881991507</v>
      </c>
      <c r="Q506" s="215" cm="1">
        <f t="array" ref="Q506">IF(P506="-",0,P506/(1+'General inputs'!$H$32)^IFERROR(INDEX('MP Calculations'!$C$40:$C$130,MATCH(F506,'MP Calculations'!$D$40:$D$130,0),0),-1))</f>
        <v>45326.201838930436</v>
      </c>
    </row>
    <row r="507" spans="3:17" x14ac:dyDescent="0.25">
      <c r="C507" s="159"/>
      <c r="D507" s="165" t="s">
        <v>703</v>
      </c>
      <c r="E507" s="161">
        <v>40633</v>
      </c>
      <c r="F507" s="172" t="str">
        <f t="shared" si="24"/>
        <v>2010-11</v>
      </c>
      <c r="G507" s="68"/>
      <c r="H507" s="167" t="s">
        <v>279</v>
      </c>
      <c r="I507" s="173">
        <v>89592.114709699614</v>
      </c>
      <c r="J507" s="168">
        <f>IFERROR(MIN('MP Calculations'!$E$30/I507,1),"-")</f>
        <v>0.31014580161562261</v>
      </c>
      <c r="K507" s="12"/>
      <c r="L507" s="159">
        <v>1</v>
      </c>
      <c r="M507" s="159" t="s">
        <v>409</v>
      </c>
      <c r="N507" s="159">
        <v>89716.38</v>
      </c>
      <c r="O507" s="185">
        <f t="shared" si="19"/>
        <v>89716.38</v>
      </c>
      <c r="P507" s="215">
        <f t="shared" si="25"/>
        <v>27825.158593151813</v>
      </c>
      <c r="Q507" s="215" cm="1">
        <f t="array" ref="Q507">IF(P507="-",0,P507/(1+'General inputs'!$H$32)^IFERROR(INDEX('MP Calculations'!$C$40:$C$130,MATCH(F507,'MP Calculations'!$D$40:$D$130,0),0),-1))</f>
        <v>45587.972318519656</v>
      </c>
    </row>
    <row r="508" spans="3:17" x14ac:dyDescent="0.25">
      <c r="C508" s="159"/>
      <c r="D508" s="165" t="s">
        <v>704</v>
      </c>
      <c r="E508" s="161">
        <v>40633</v>
      </c>
      <c r="F508" s="172" t="str">
        <f t="shared" si="24"/>
        <v>2010-11</v>
      </c>
      <c r="G508" s="68"/>
      <c r="H508" s="167" t="s">
        <v>279</v>
      </c>
      <c r="I508" s="173">
        <v>89592.114709699614</v>
      </c>
      <c r="J508" s="168">
        <f>IFERROR(MIN('MP Calculations'!$E$30/I508,1),"-")</f>
        <v>0.31014580161562261</v>
      </c>
      <c r="K508" s="12"/>
      <c r="L508" s="159">
        <v>1</v>
      </c>
      <c r="M508" s="159" t="s">
        <v>409</v>
      </c>
      <c r="N508" s="159">
        <v>88841.600000000006</v>
      </c>
      <c r="O508" s="185">
        <f t="shared" si="19"/>
        <v>88841.600000000006</v>
      </c>
      <c r="P508" s="215">
        <f t="shared" si="25"/>
        <v>27553.849248814498</v>
      </c>
      <c r="Q508" s="215" cm="1">
        <f t="array" ref="Q508">IF(P508="-",0,P508/(1+'General inputs'!$H$32)^IFERROR(INDEX('MP Calculations'!$C$40:$C$130,MATCH(F508,'MP Calculations'!$D$40:$D$130,0),0),-1))</f>
        <v>45143.46657246977</v>
      </c>
    </row>
    <row r="509" spans="3:17" x14ac:dyDescent="0.25">
      <c r="C509" s="159"/>
      <c r="D509" s="165" t="s">
        <v>705</v>
      </c>
      <c r="E509" s="161">
        <v>40633</v>
      </c>
      <c r="F509" s="172" t="str">
        <f t="shared" si="24"/>
        <v>2010-11</v>
      </c>
      <c r="G509" s="68"/>
      <c r="H509" s="167" t="s">
        <v>279</v>
      </c>
      <c r="I509" s="173">
        <v>89592.114709699614</v>
      </c>
      <c r="J509" s="168">
        <f>IFERROR(MIN('MP Calculations'!$E$30/I509,1),"-")</f>
        <v>0.31014580161562261</v>
      </c>
      <c r="K509" s="12"/>
      <c r="L509" s="159">
        <v>1</v>
      </c>
      <c r="M509" s="159" t="s">
        <v>409</v>
      </c>
      <c r="N509" s="159">
        <v>89317.29</v>
      </c>
      <c r="O509" s="185">
        <f t="shared" si="19"/>
        <v>89317.29</v>
      </c>
      <c r="P509" s="215">
        <f t="shared" si="25"/>
        <v>27701.382505185033</v>
      </c>
      <c r="Q509" s="215" cm="1">
        <f t="array" ref="Q509">IF(P509="-",0,P509/(1+'General inputs'!$H$32)^IFERROR(INDEX('MP Calculations'!$C$40:$C$130,MATCH(F509,'MP Calculations'!$D$40:$D$130,0),0),-1))</f>
        <v>45385.180990195906</v>
      </c>
    </row>
    <row r="510" spans="3:17" x14ac:dyDescent="0.25">
      <c r="C510" s="159"/>
      <c r="D510" s="165" t="s">
        <v>706</v>
      </c>
      <c r="E510" s="161">
        <v>40633</v>
      </c>
      <c r="F510" s="172" t="str">
        <f t="shared" si="24"/>
        <v>2010-11</v>
      </c>
      <c r="G510" s="68"/>
      <c r="H510" s="167" t="s">
        <v>279</v>
      </c>
      <c r="I510" s="173">
        <v>89592.114709699614</v>
      </c>
      <c r="J510" s="168">
        <f>IFERROR(MIN('MP Calculations'!$E$30/I510,1),"-")</f>
        <v>0.31014580161562261</v>
      </c>
      <c r="K510" s="12"/>
      <c r="L510" s="159">
        <v>1</v>
      </c>
      <c r="M510" s="159" t="s">
        <v>409</v>
      </c>
      <c r="N510" s="159">
        <v>927819.92</v>
      </c>
      <c r="O510" s="185">
        <f t="shared" si="19"/>
        <v>927819.92</v>
      </c>
      <c r="P510" s="215">
        <f t="shared" si="25"/>
        <v>287759.45284334285</v>
      </c>
      <c r="Q510" s="215" cm="1">
        <f t="array" ref="Q510">IF(P510="-",0,P510/(1+'General inputs'!$H$32)^IFERROR(INDEX('MP Calculations'!$C$40:$C$130,MATCH(F510,'MP Calculations'!$D$40:$D$130,0),0),-1))</f>
        <v>471457.15007149329</v>
      </c>
    </row>
    <row r="511" spans="3:17" x14ac:dyDescent="0.25">
      <c r="C511" s="159"/>
      <c r="D511" s="165" t="s">
        <v>707</v>
      </c>
      <c r="E511" s="161">
        <v>40633</v>
      </c>
      <c r="F511" s="172" t="str">
        <f t="shared" si="24"/>
        <v>2010-11</v>
      </c>
      <c r="G511" s="68"/>
      <c r="H511" s="167" t="s">
        <v>279</v>
      </c>
      <c r="I511" s="173">
        <v>89592.114709699614</v>
      </c>
      <c r="J511" s="168">
        <f>IFERROR(MIN('MP Calculations'!$E$30/I511,1),"-")</f>
        <v>0.31014580161562261</v>
      </c>
      <c r="K511" s="12"/>
      <c r="L511" s="159">
        <v>1</v>
      </c>
      <c r="M511" s="159" t="s">
        <v>409</v>
      </c>
      <c r="N511" s="159">
        <v>166732.74</v>
      </c>
      <c r="O511" s="185">
        <f t="shared" si="19"/>
        <v>166732.74</v>
      </c>
      <c r="P511" s="215">
        <f t="shared" si="25"/>
        <v>51711.459302869182</v>
      </c>
      <c r="Q511" s="215" cm="1">
        <f t="array" ref="Q511">IF(P511="-",0,P511/(1+'General inputs'!$H$32)^IFERROR(INDEX('MP Calculations'!$C$40:$C$130,MATCH(F511,'MP Calculations'!$D$40:$D$130,0),0),-1))</f>
        <v>84722.628529048248</v>
      </c>
    </row>
    <row r="512" spans="3:17" x14ac:dyDescent="0.25">
      <c r="C512" s="159"/>
      <c r="D512" s="165" t="s">
        <v>708</v>
      </c>
      <c r="E512" s="161">
        <v>40633</v>
      </c>
      <c r="F512" s="172" t="str">
        <f t="shared" si="24"/>
        <v>2010-11</v>
      </c>
      <c r="G512" s="68"/>
      <c r="H512" s="167" t="s">
        <v>279</v>
      </c>
      <c r="I512" s="173">
        <v>89592.114709699614</v>
      </c>
      <c r="J512" s="168">
        <f>IFERROR(MIN('MP Calculations'!$E$30/I512,1),"-")</f>
        <v>0.31014580161562261</v>
      </c>
      <c r="K512" s="12"/>
      <c r="L512" s="159">
        <v>1</v>
      </c>
      <c r="M512" s="159" t="s">
        <v>409</v>
      </c>
      <c r="N512" s="159">
        <v>168761.35</v>
      </c>
      <c r="O512" s="185">
        <f t="shared" si="19"/>
        <v>168761.35</v>
      </c>
      <c r="P512" s="215">
        <f t="shared" si="25"/>
        <v>52340.624177484657</v>
      </c>
      <c r="Q512" s="215" cm="1">
        <f t="array" ref="Q512">IF(P512="-",0,P512/(1+'General inputs'!$H$32)^IFERROR(INDEX('MP Calculations'!$C$40:$C$130,MATCH(F512,'MP Calculations'!$D$40:$D$130,0),0),-1))</f>
        <v>85753.434904930487</v>
      </c>
    </row>
    <row r="513" spans="3:17" x14ac:dyDescent="0.25">
      <c r="C513" s="159"/>
      <c r="D513" s="165" t="s">
        <v>709</v>
      </c>
      <c r="E513" s="161">
        <v>40633</v>
      </c>
      <c r="F513" s="172" t="str">
        <f t="shared" si="24"/>
        <v>2010-11</v>
      </c>
      <c r="G513" s="68"/>
      <c r="H513" s="167" t="s">
        <v>279</v>
      </c>
      <c r="I513" s="173">
        <v>89592.114709699614</v>
      </c>
      <c r="J513" s="168">
        <f>IFERROR(MIN('MP Calculations'!$E$30/I513,1),"-")</f>
        <v>0.31014580161562261</v>
      </c>
      <c r="K513" s="12"/>
      <c r="L513" s="159">
        <v>1</v>
      </c>
      <c r="M513" s="159" t="s">
        <v>409</v>
      </c>
      <c r="N513" s="159">
        <v>13681.16</v>
      </c>
      <c r="O513" s="185">
        <f t="shared" si="19"/>
        <v>13681.16</v>
      </c>
      <c r="P513" s="215">
        <f t="shared" si="25"/>
        <v>4243.1543352315912</v>
      </c>
      <c r="Q513" s="215" cm="1">
        <f t="array" ref="Q513">IF(P513="-",0,P513/(1+'General inputs'!$H$32)^IFERROR(INDEX('MP Calculations'!$C$40:$C$130,MATCH(F513,'MP Calculations'!$D$40:$D$130,0),0),-1))</f>
        <v>6951.8670209970387</v>
      </c>
    </row>
    <row r="514" spans="3:17" x14ac:dyDescent="0.25">
      <c r="C514" s="159"/>
      <c r="D514" s="165" t="s">
        <v>710</v>
      </c>
      <c r="E514" s="161">
        <v>40633</v>
      </c>
      <c r="F514" s="172" t="str">
        <f t="shared" si="24"/>
        <v>2010-11</v>
      </c>
      <c r="G514" s="68"/>
      <c r="H514" s="167" t="s">
        <v>279</v>
      </c>
      <c r="I514" s="173">
        <v>89592.114709699614</v>
      </c>
      <c r="J514" s="168">
        <f>IFERROR(MIN('MP Calculations'!$E$30/I514,1),"-")</f>
        <v>0.31014580161562261</v>
      </c>
      <c r="K514" s="12"/>
      <c r="L514" s="159">
        <v>1</v>
      </c>
      <c r="M514" s="159" t="s">
        <v>409</v>
      </c>
      <c r="N514" s="159">
        <v>26829.599999999999</v>
      </c>
      <c r="O514" s="185">
        <f t="shared" si="19"/>
        <v>26829.599999999999</v>
      </c>
      <c r="P514" s="215">
        <f t="shared" si="25"/>
        <v>8321.0877990265071</v>
      </c>
      <c r="Q514" s="215" cm="1">
        <f t="array" ref="Q514">IF(P514="-",0,P514/(1+'General inputs'!$H$32)^IFERROR(INDEX('MP Calculations'!$C$40:$C$130,MATCH(F514,'MP Calculations'!$D$40:$D$130,0),0),-1))</f>
        <v>13633.040723633239</v>
      </c>
    </row>
    <row r="515" spans="3:17" x14ac:dyDescent="0.25">
      <c r="C515" s="159"/>
      <c r="D515" s="165" t="s">
        <v>711</v>
      </c>
      <c r="E515" s="161">
        <v>40633</v>
      </c>
      <c r="F515" s="172" t="str">
        <f t="shared" si="24"/>
        <v>2010-11</v>
      </c>
      <c r="G515" s="68"/>
      <c r="H515" s="167" t="s">
        <v>279</v>
      </c>
      <c r="I515" s="173">
        <v>89592.114709699614</v>
      </c>
      <c r="J515" s="168">
        <f>IFERROR(MIN('MP Calculations'!$E$30/I515,1),"-")</f>
        <v>0.31014580161562261</v>
      </c>
      <c r="K515" s="12"/>
      <c r="L515" s="159">
        <v>1</v>
      </c>
      <c r="M515" s="159" t="s">
        <v>409</v>
      </c>
      <c r="N515" s="159">
        <v>960992.44</v>
      </c>
      <c r="O515" s="185">
        <f t="shared" si="19"/>
        <v>960992.44</v>
      </c>
      <c r="P515" s="215">
        <f t="shared" si="25"/>
        <v>298047.77065035311</v>
      </c>
      <c r="Q515" s="215" cm="1">
        <f t="array" ref="Q515">IF(P515="-",0,P515/(1+'General inputs'!$H$32)^IFERROR(INDEX('MP Calculations'!$C$40:$C$130,MATCH(F515,'MP Calculations'!$D$40:$D$130,0),0),-1))</f>
        <v>488313.24617674784</v>
      </c>
    </row>
    <row r="516" spans="3:17" x14ac:dyDescent="0.25">
      <c r="C516" s="159"/>
      <c r="D516" s="165" t="s">
        <v>712</v>
      </c>
      <c r="E516" s="161">
        <v>40633</v>
      </c>
      <c r="F516" s="172" t="str">
        <f t="shared" si="24"/>
        <v>2010-11</v>
      </c>
      <c r="G516" s="68"/>
      <c r="H516" s="167" t="s">
        <v>279</v>
      </c>
      <c r="I516" s="173">
        <v>89592.114709699614</v>
      </c>
      <c r="J516" s="168">
        <f>IFERROR(MIN('MP Calculations'!$E$30/I516,1),"-")</f>
        <v>0.31014580161562261</v>
      </c>
      <c r="K516" s="12"/>
      <c r="L516" s="159">
        <v>1</v>
      </c>
      <c r="M516" s="159" t="s">
        <v>409</v>
      </c>
      <c r="N516" s="159">
        <v>708627.63</v>
      </c>
      <c r="O516" s="185">
        <f t="shared" si="19"/>
        <v>708627.63</v>
      </c>
      <c r="P516" s="215">
        <f t="shared" si="25"/>
        <v>219777.88435332882</v>
      </c>
      <c r="Q516" s="215" cm="1">
        <f t="array" ref="Q516">IF(P516="-",0,P516/(1+'General inputs'!$H$32)^IFERROR(INDEX('MP Calculations'!$C$40:$C$130,MATCH(F516,'MP Calculations'!$D$40:$D$130,0),0),-1))</f>
        <v>360078.02343984658</v>
      </c>
    </row>
    <row r="517" spans="3:17" x14ac:dyDescent="0.25">
      <c r="C517" s="159"/>
      <c r="D517" s="165" t="s">
        <v>713</v>
      </c>
      <c r="E517" s="161">
        <v>40633</v>
      </c>
      <c r="F517" s="172" t="str">
        <f t="shared" si="24"/>
        <v>2010-11</v>
      </c>
      <c r="G517" s="68"/>
      <c r="H517" s="167" t="s">
        <v>279</v>
      </c>
      <c r="I517" s="173">
        <v>89592.114709699614</v>
      </c>
      <c r="J517" s="168">
        <f>IFERROR(MIN('MP Calculations'!$E$30/I517,1),"-")</f>
        <v>0.31014580161562261</v>
      </c>
      <c r="K517" s="12"/>
      <c r="L517" s="159">
        <v>1</v>
      </c>
      <c r="M517" s="159" t="s">
        <v>409</v>
      </c>
      <c r="N517" s="159">
        <v>712591.15</v>
      </c>
      <c r="O517" s="185">
        <f t="shared" si="19"/>
        <v>712591.15</v>
      </c>
      <c r="P517" s="215">
        <f t="shared" si="25"/>
        <v>221007.15344094837</v>
      </c>
      <c r="Q517" s="215" cm="1">
        <f t="array" ref="Q517">IF(P517="-",0,P517/(1+'General inputs'!$H$32)^IFERROR(INDEX('MP Calculations'!$C$40:$C$130,MATCH(F517,'MP Calculations'!$D$40:$D$130,0),0),-1))</f>
        <v>362092.0240052272</v>
      </c>
    </row>
    <row r="518" spans="3:17" x14ac:dyDescent="0.25">
      <c r="C518" s="159"/>
      <c r="D518" s="165" t="s">
        <v>714</v>
      </c>
      <c r="E518" s="161">
        <v>40633</v>
      </c>
      <c r="F518" s="172" t="str">
        <f t="shared" si="24"/>
        <v>2010-11</v>
      </c>
      <c r="G518" s="68"/>
      <c r="H518" s="167" t="s">
        <v>279</v>
      </c>
      <c r="I518" s="173">
        <v>89592.114709699614</v>
      </c>
      <c r="J518" s="168">
        <f>IFERROR(MIN('MP Calculations'!$E$30/I518,1),"-")</f>
        <v>0.31014580161562261</v>
      </c>
      <c r="K518" s="12"/>
      <c r="L518" s="159">
        <v>1</v>
      </c>
      <c r="M518" s="159" t="s">
        <v>409</v>
      </c>
      <c r="N518" s="159">
        <v>962339.03</v>
      </c>
      <c r="O518" s="185">
        <f t="shared" si="19"/>
        <v>962339.03</v>
      </c>
      <c r="P518" s="215">
        <f t="shared" si="25"/>
        <v>298465.40988535067</v>
      </c>
      <c r="Q518" s="215" cm="1">
        <f t="array" ref="Q518">IF(P518="-",0,P518/(1+'General inputs'!$H$32)^IFERROR(INDEX('MP Calculations'!$C$40:$C$130,MATCH(F518,'MP Calculations'!$D$40:$D$130,0),0),-1))</f>
        <v>488997.49477933737</v>
      </c>
    </row>
    <row r="519" spans="3:17" x14ac:dyDescent="0.25">
      <c r="C519" s="159"/>
      <c r="D519" s="165" t="s">
        <v>715</v>
      </c>
      <c r="E519" s="161">
        <v>40633</v>
      </c>
      <c r="F519" s="172" t="str">
        <f t="shared" si="24"/>
        <v>2010-11</v>
      </c>
      <c r="G519" s="68"/>
      <c r="H519" s="167" t="s">
        <v>279</v>
      </c>
      <c r="I519" s="173">
        <v>89592.114709699614</v>
      </c>
      <c r="J519" s="168">
        <f>IFERROR(MIN('MP Calculations'!$E$30/I519,1),"-")</f>
        <v>0.31014580161562261</v>
      </c>
      <c r="K519" s="12"/>
      <c r="L519" s="159">
        <v>1</v>
      </c>
      <c r="M519" s="159" t="s">
        <v>409</v>
      </c>
      <c r="N519" s="159">
        <v>121623.67</v>
      </c>
      <c r="O519" s="185">
        <f t="shared" si="19"/>
        <v>121623.67</v>
      </c>
      <c r="P519" s="215">
        <f t="shared" si="25"/>
        <v>37721.070627583947</v>
      </c>
      <c r="Q519" s="215" cm="1">
        <f t="array" ref="Q519">IF(P519="-",0,P519/(1+'General inputs'!$H$32)^IFERROR(INDEX('MP Calculations'!$C$40:$C$130,MATCH(F519,'MP Calculations'!$D$40:$D$130,0),0),-1))</f>
        <v>61801.161629980706</v>
      </c>
    </row>
    <row r="520" spans="3:17" x14ac:dyDescent="0.25">
      <c r="C520" s="159"/>
      <c r="D520" s="165" t="s">
        <v>716</v>
      </c>
      <c r="E520" s="161">
        <v>40634</v>
      </c>
      <c r="F520" s="172" t="str">
        <f t="shared" si="24"/>
        <v>2010-11</v>
      </c>
      <c r="G520" s="68"/>
      <c r="H520" s="167" t="s">
        <v>279</v>
      </c>
      <c r="I520" s="173">
        <v>89592.114709699614</v>
      </c>
      <c r="J520" s="168">
        <f>IFERROR(MIN('MP Calculations'!$E$30/I520,1),"-")</f>
        <v>0.31014580161562261</v>
      </c>
      <c r="K520" s="12"/>
      <c r="L520" s="159">
        <v>1</v>
      </c>
      <c r="M520" s="159" t="s">
        <v>409</v>
      </c>
      <c r="N520" s="159">
        <v>1815.27</v>
      </c>
      <c r="O520" s="185">
        <f t="shared" si="19"/>
        <v>1815.27</v>
      </c>
      <c r="P520" s="215">
        <f t="shared" si="25"/>
        <v>562.9983692987912</v>
      </c>
      <c r="Q520" s="215" cm="1">
        <f t="array" ref="Q520">IF(P520="-",0,P520/(1+'General inputs'!$H$32)^IFERROR(INDEX('MP Calculations'!$C$40:$C$130,MATCH(F520,'MP Calculations'!$D$40:$D$130,0),0),-1))</f>
        <v>922.40099868763275</v>
      </c>
    </row>
    <row r="521" spans="3:17" x14ac:dyDescent="0.25">
      <c r="C521" s="159"/>
      <c r="D521" s="165" t="s">
        <v>717</v>
      </c>
      <c r="E521" s="161">
        <v>40693</v>
      </c>
      <c r="F521" s="172" t="str">
        <f t="shared" si="24"/>
        <v>2010-11</v>
      </c>
      <c r="G521" s="68"/>
      <c r="H521" s="167" t="s">
        <v>279</v>
      </c>
      <c r="I521" s="173">
        <v>89592.114709699614</v>
      </c>
      <c r="J521" s="168">
        <f>IFERROR(MIN('MP Calculations'!$E$30/I521,1),"-")</f>
        <v>0.31014580161562261</v>
      </c>
      <c r="K521" s="12"/>
      <c r="L521" s="159">
        <v>1</v>
      </c>
      <c r="M521" s="159" t="s">
        <v>409</v>
      </c>
      <c r="N521" s="159">
        <v>18545.79</v>
      </c>
      <c r="O521" s="185">
        <f t="shared" si="19"/>
        <v>18545.79</v>
      </c>
      <c r="P521" s="215">
        <f t="shared" si="25"/>
        <v>5751.8989061449975</v>
      </c>
      <c r="Q521" s="215" cm="1">
        <f t="array" ref="Q521">IF(P521="-",0,P521/(1+'General inputs'!$H$32)^IFERROR(INDEX('MP Calculations'!$C$40:$C$130,MATCH(F521,'MP Calculations'!$D$40:$D$130,0),0),-1))</f>
        <v>9423.7525092416636</v>
      </c>
    </row>
    <row r="522" spans="3:17" x14ac:dyDescent="0.25">
      <c r="C522" s="159"/>
      <c r="D522" s="165" t="s">
        <v>718</v>
      </c>
      <c r="E522" s="161">
        <v>40693</v>
      </c>
      <c r="F522" s="172" t="str">
        <f t="shared" si="24"/>
        <v>2010-11</v>
      </c>
      <c r="G522" s="68"/>
      <c r="H522" s="167" t="s">
        <v>279</v>
      </c>
      <c r="I522" s="173">
        <v>89592.114709699614</v>
      </c>
      <c r="J522" s="168">
        <f>IFERROR(MIN('MP Calculations'!$E$30/I522,1),"-")</f>
        <v>0.31014580161562261</v>
      </c>
      <c r="K522" s="12"/>
      <c r="L522" s="159">
        <v>1</v>
      </c>
      <c r="M522" s="159" t="s">
        <v>409</v>
      </c>
      <c r="N522" s="159">
        <v>2238.88</v>
      </c>
      <c r="O522" s="185">
        <f t="shared" si="19"/>
        <v>2238.88</v>
      </c>
      <c r="P522" s="215">
        <f t="shared" si="25"/>
        <v>694.37923232118521</v>
      </c>
      <c r="Q522" s="215" cm="1">
        <f t="array" ref="Q522">IF(P522="-",0,P522/(1+'General inputs'!$H$32)^IFERROR(INDEX('MP Calculations'!$C$40:$C$130,MATCH(F522,'MP Calculations'!$D$40:$D$130,0),0),-1))</f>
        <v>1137.6517806947547</v>
      </c>
    </row>
    <row r="523" spans="3:17" x14ac:dyDescent="0.25">
      <c r="C523" s="159"/>
      <c r="D523" s="165" t="s">
        <v>719</v>
      </c>
      <c r="E523" s="161">
        <v>40693</v>
      </c>
      <c r="F523" s="172" t="str">
        <f t="shared" si="24"/>
        <v>2010-11</v>
      </c>
      <c r="G523" s="68"/>
      <c r="H523" s="167" t="s">
        <v>279</v>
      </c>
      <c r="I523" s="173">
        <v>89592.114709699614</v>
      </c>
      <c r="J523" s="168">
        <f>IFERROR(MIN('MP Calculations'!$E$30/I523,1),"-")</f>
        <v>0.31014580161562261</v>
      </c>
      <c r="K523" s="12"/>
      <c r="L523" s="159">
        <v>1</v>
      </c>
      <c r="M523" s="159" t="s">
        <v>409</v>
      </c>
      <c r="N523" s="159">
        <v>81388.289999999994</v>
      </c>
      <c r="O523" s="185">
        <f t="shared" si="19"/>
        <v>81388.289999999994</v>
      </c>
      <c r="P523" s="215">
        <f t="shared" si="25"/>
        <v>25242.23644417476</v>
      </c>
      <c r="Q523" s="215" cm="1">
        <f t="array" ref="Q523">IF(P523="-",0,P523/(1+'General inputs'!$H$32)^IFERROR(INDEX('MP Calculations'!$C$40:$C$130,MATCH(F523,'MP Calculations'!$D$40:$D$130,0),0),-1))</f>
        <v>41356.183916154994</v>
      </c>
    </row>
    <row r="524" spans="3:17" x14ac:dyDescent="0.25">
      <c r="C524" s="159"/>
      <c r="D524" s="165" t="s">
        <v>720</v>
      </c>
      <c r="E524" s="161">
        <v>40693</v>
      </c>
      <c r="F524" s="172" t="str">
        <f t="shared" si="24"/>
        <v>2010-11</v>
      </c>
      <c r="G524" s="68"/>
      <c r="H524" s="167" t="s">
        <v>279</v>
      </c>
      <c r="I524" s="173">
        <v>89592.114709699614</v>
      </c>
      <c r="J524" s="168">
        <f>IFERROR(MIN('MP Calculations'!$E$30/I524,1),"-")</f>
        <v>0.31014580161562261</v>
      </c>
      <c r="K524" s="12"/>
      <c r="L524" s="159">
        <v>1</v>
      </c>
      <c r="M524" s="159" t="s">
        <v>409</v>
      </c>
      <c r="N524" s="159">
        <v>2148.4</v>
      </c>
      <c r="O524" s="185">
        <f t="shared" si="19"/>
        <v>2148.4</v>
      </c>
      <c r="P524" s="215">
        <f t="shared" si="25"/>
        <v>666.31724019100363</v>
      </c>
      <c r="Q524" s="215" cm="1">
        <f t="array" ref="Q524">IF(P524="-",0,P524/(1+'General inputs'!$H$32)^IFERROR(INDEX('MP Calculations'!$C$40:$C$130,MATCH(F524,'MP Calculations'!$D$40:$D$130,0),0),-1))</f>
        <v>1091.6757868419081</v>
      </c>
    </row>
    <row r="525" spans="3:17" x14ac:dyDescent="0.25">
      <c r="C525" s="159"/>
      <c r="D525" s="165" t="s">
        <v>721</v>
      </c>
      <c r="E525" s="161">
        <v>40693</v>
      </c>
      <c r="F525" s="172" t="str">
        <f t="shared" si="24"/>
        <v>2010-11</v>
      </c>
      <c r="G525" s="68"/>
      <c r="H525" s="167" t="s">
        <v>279</v>
      </c>
      <c r="I525" s="173">
        <v>89592.114709699614</v>
      </c>
      <c r="J525" s="168">
        <f>IFERROR(MIN('MP Calculations'!$E$30/I525,1),"-")</f>
        <v>0.31014580161562261</v>
      </c>
      <c r="K525" s="12"/>
      <c r="L525" s="159">
        <v>1</v>
      </c>
      <c r="M525" s="159" t="s">
        <v>409</v>
      </c>
      <c r="N525" s="159">
        <v>102817.67</v>
      </c>
      <c r="O525" s="185">
        <f t="shared" si="19"/>
        <v>102817.67</v>
      </c>
      <c r="P525" s="215">
        <f t="shared" si="25"/>
        <v>31888.468682400551</v>
      </c>
      <c r="Q525" s="215" cm="1">
        <f t="array" ref="Q525">IF(P525="-",0,P525/(1+'General inputs'!$H$32)^IFERROR(INDEX('MP Calculations'!$C$40:$C$130,MATCH(F525,'MP Calculations'!$D$40:$D$130,0),0),-1))</f>
        <v>52245.187487666</v>
      </c>
    </row>
    <row r="526" spans="3:17" x14ac:dyDescent="0.25">
      <c r="C526" s="159"/>
      <c r="D526" s="165" t="s">
        <v>722</v>
      </c>
      <c r="E526" s="161">
        <v>40695</v>
      </c>
      <c r="F526" s="172" t="str">
        <f t="shared" si="24"/>
        <v>2010-11</v>
      </c>
      <c r="G526" s="68"/>
      <c r="H526" s="167" t="s">
        <v>279</v>
      </c>
      <c r="I526" s="173">
        <v>89592.114709699614</v>
      </c>
      <c r="J526" s="168">
        <f>IFERROR(MIN('MP Calculations'!$E$30/I526,1),"-")</f>
        <v>0.31014580161562261</v>
      </c>
      <c r="K526" s="12"/>
      <c r="L526" s="159">
        <v>1</v>
      </c>
      <c r="M526" s="159" t="s">
        <v>409</v>
      </c>
      <c r="N526" s="159">
        <v>38495.1</v>
      </c>
      <c r="O526" s="185">
        <f t="shared" si="19"/>
        <v>38495.1</v>
      </c>
      <c r="P526" s="215">
        <f t="shared" si="25"/>
        <v>11939.093647773554</v>
      </c>
      <c r="Q526" s="215" cm="1">
        <f t="array" ref="Q526">IF(P526="-",0,P526/(1+'General inputs'!$H$32)^IFERROR(INDEX('MP Calculations'!$C$40:$C$130,MATCH(F526,'MP Calculations'!$D$40:$D$130,0),0),-1))</f>
        <v>19560.681708274966</v>
      </c>
    </row>
    <row r="527" spans="3:17" x14ac:dyDescent="0.25">
      <c r="C527" s="159"/>
      <c r="D527" s="165" t="s">
        <v>723</v>
      </c>
      <c r="E527" s="161">
        <v>40725</v>
      </c>
      <c r="F527" s="172" t="str">
        <f t="shared" si="24"/>
        <v>2011-12</v>
      </c>
      <c r="G527" s="68"/>
      <c r="H527" s="167" t="s">
        <v>279</v>
      </c>
      <c r="I527" s="173">
        <v>89592.114709699614</v>
      </c>
      <c r="J527" s="168">
        <f>IFERROR(MIN('MP Calculations'!$E$30/I527,1),"-")</f>
        <v>0.31014580161562261</v>
      </c>
      <c r="K527" s="12"/>
      <c r="L527" s="159">
        <v>1</v>
      </c>
      <c r="M527" s="159" t="s">
        <v>409</v>
      </c>
      <c r="N527" s="159">
        <v>4535.63</v>
      </c>
      <c r="O527" s="185">
        <f t="shared" si="19"/>
        <v>4535.63</v>
      </c>
      <c r="P527" s="215">
        <f t="shared" si="25"/>
        <v>1406.7066021818664</v>
      </c>
      <c r="Q527" s="215" cm="1">
        <f t="array" ref="Q527">IF(P527="-",0,P527/(1+'General inputs'!$H$32)^IFERROR(INDEX('MP Calculations'!$C$40:$C$130,MATCH(F527,'MP Calculations'!$D$40:$D$130,0),0),-1))</f>
        <v>2211.8131428583392</v>
      </c>
    </row>
    <row r="528" spans="3:17" x14ac:dyDescent="0.25">
      <c r="C528" s="159"/>
      <c r="D528" s="165" t="s">
        <v>609</v>
      </c>
      <c r="E528" s="161">
        <v>40725</v>
      </c>
      <c r="F528" s="172" t="str">
        <f t="shared" si="24"/>
        <v>2011-12</v>
      </c>
      <c r="G528" s="68"/>
      <c r="H528" s="167" t="s">
        <v>279</v>
      </c>
      <c r="I528" s="173">
        <v>89592.114709699614</v>
      </c>
      <c r="J528" s="168">
        <f>IFERROR(MIN('MP Calculations'!$E$30/I528,1),"-")</f>
        <v>0.31014580161562261</v>
      </c>
      <c r="K528" s="12"/>
      <c r="L528" s="159">
        <v>1</v>
      </c>
      <c r="M528" s="159" t="s">
        <v>409</v>
      </c>
      <c r="N528" s="159">
        <v>6936.8</v>
      </c>
      <c r="O528" s="185">
        <f t="shared" si="19"/>
        <v>6936.8</v>
      </c>
      <c r="P528" s="215">
        <f t="shared" si="25"/>
        <v>2151.4193966472508</v>
      </c>
      <c r="Q528" s="215" cm="1">
        <f t="array" ref="Q528">IF(P528="-",0,P528/(1+'General inputs'!$H$32)^IFERROR(INDEX('MP Calculations'!$C$40:$C$130,MATCH(F528,'MP Calculations'!$D$40:$D$130,0),0),-1))</f>
        <v>3382.7506673559628</v>
      </c>
    </row>
    <row r="529" spans="3:17" x14ac:dyDescent="0.25">
      <c r="C529" s="159"/>
      <c r="D529" s="165" t="s">
        <v>724</v>
      </c>
      <c r="E529" s="161">
        <v>40725</v>
      </c>
      <c r="F529" s="172" t="str">
        <f t="shared" si="24"/>
        <v>2011-12</v>
      </c>
      <c r="G529" s="68"/>
      <c r="H529" s="167" t="s">
        <v>279</v>
      </c>
      <c r="I529" s="173">
        <v>89592.114709699614</v>
      </c>
      <c r="J529" s="168">
        <f>IFERROR(MIN('MP Calculations'!$E$30/I529,1),"-")</f>
        <v>0.31014580161562261</v>
      </c>
      <c r="K529" s="12"/>
      <c r="L529" s="159">
        <v>1</v>
      </c>
      <c r="M529" s="159" t="s">
        <v>409</v>
      </c>
      <c r="N529" s="159">
        <v>1272.3399999999999</v>
      </c>
      <c r="O529" s="185">
        <f t="shared" si="19"/>
        <v>1272.3399999999999</v>
      </c>
      <c r="P529" s="215">
        <f t="shared" si="25"/>
        <v>394.61090922762122</v>
      </c>
      <c r="Q529" s="215" cm="1">
        <f t="array" ref="Q529">IF(P529="-",0,P529/(1+'General inputs'!$H$32)^IFERROR(INDEX('MP Calculations'!$C$40:$C$130,MATCH(F529,'MP Calculations'!$D$40:$D$130,0),0),-1))</f>
        <v>620.46029640521351</v>
      </c>
    </row>
    <row r="530" spans="3:17" x14ac:dyDescent="0.25">
      <c r="C530" s="159"/>
      <c r="D530" s="165" t="s">
        <v>725</v>
      </c>
      <c r="E530" s="161">
        <v>40787</v>
      </c>
      <c r="F530" s="172" t="str">
        <f t="shared" si="24"/>
        <v>2011-12</v>
      </c>
      <c r="G530" s="68"/>
      <c r="H530" s="167" t="s">
        <v>279</v>
      </c>
      <c r="I530" s="173">
        <v>89592.114709699614</v>
      </c>
      <c r="J530" s="168">
        <f>IFERROR(MIN('MP Calculations'!$E$30/I530,1),"-")</f>
        <v>0.31014580161562261</v>
      </c>
      <c r="K530" s="12"/>
      <c r="L530" s="159">
        <v>1</v>
      </c>
      <c r="M530" s="159" t="s">
        <v>409</v>
      </c>
      <c r="N530" s="159">
        <v>17658.439999999999</v>
      </c>
      <c r="O530" s="185">
        <f t="shared" si="19"/>
        <v>17658.439999999999</v>
      </c>
      <c r="P530" s="215">
        <f t="shared" si="25"/>
        <v>5476.6910290813748</v>
      </c>
      <c r="Q530" s="215" cm="1">
        <f t="array" ref="Q530">IF(P530="-",0,P530/(1+'General inputs'!$H$32)^IFERROR(INDEX('MP Calculations'!$C$40:$C$130,MATCH(F530,'MP Calculations'!$D$40:$D$130,0),0),-1))</f>
        <v>8611.1895534634459</v>
      </c>
    </row>
    <row r="531" spans="3:17" x14ac:dyDescent="0.25">
      <c r="C531" s="159"/>
      <c r="D531" s="165" t="s">
        <v>284</v>
      </c>
      <c r="E531" s="161">
        <v>40793</v>
      </c>
      <c r="F531" s="172" t="str">
        <f t="shared" si="24"/>
        <v>2011-12</v>
      </c>
      <c r="G531" s="68"/>
      <c r="H531" s="167" t="s">
        <v>279</v>
      </c>
      <c r="I531" s="173">
        <v>89592.114709699614</v>
      </c>
      <c r="J531" s="168">
        <f>IFERROR(MIN('MP Calculations'!$E$30/I531,1),"-")</f>
        <v>0.31014580161562261</v>
      </c>
      <c r="K531" s="12"/>
      <c r="L531" s="159">
        <v>4.520302</v>
      </c>
      <c r="M531" s="159" t="s">
        <v>408</v>
      </c>
      <c r="N531" s="159">
        <v>405</v>
      </c>
      <c r="O531" s="185">
        <f t="shared" si="19"/>
        <v>1830.7223100000001</v>
      </c>
      <c r="P531" s="215">
        <f t="shared" si="25"/>
        <v>567.79083837055441</v>
      </c>
      <c r="Q531" s="215" cm="1">
        <f t="array" ref="Q531">IF(P531="-",0,P531/(1+'General inputs'!$H$32)^IFERROR(INDEX('MP Calculations'!$C$40:$C$130,MATCH(F531,'MP Calculations'!$D$40:$D$130,0),0),-1))</f>
        <v>892.75705165147485</v>
      </c>
    </row>
    <row r="532" spans="3:17" x14ac:dyDescent="0.25">
      <c r="C532" s="159"/>
      <c r="D532" s="165" t="s">
        <v>294</v>
      </c>
      <c r="E532" s="161">
        <v>41130</v>
      </c>
      <c r="F532" s="172" t="str">
        <f t="shared" si="24"/>
        <v>2012-13</v>
      </c>
      <c r="G532" s="68"/>
      <c r="H532" s="167" t="s">
        <v>279</v>
      </c>
      <c r="I532" s="173">
        <v>89592.114709699614</v>
      </c>
      <c r="J532" s="168">
        <f>IFERROR(MIN('MP Calculations'!$E$30/I532,1),"-")</f>
        <v>0.31014580161562261</v>
      </c>
      <c r="K532" s="12"/>
      <c r="L532" s="159">
        <v>8.8870400000000007</v>
      </c>
      <c r="M532" s="159" t="s">
        <v>408</v>
      </c>
      <c r="N532" s="159">
        <v>1908</v>
      </c>
      <c r="O532" s="185">
        <f t="shared" si="19"/>
        <v>16956.472320000001</v>
      </c>
      <c r="P532" s="215">
        <f t="shared" si="25"/>
        <v>5258.9787002595167</v>
      </c>
      <c r="Q532" s="215" cm="1">
        <f t="array" ref="Q532">IF(P532="-",0,P532/(1+'General inputs'!$H$32)^IFERROR(INDEX('MP Calculations'!$C$40:$C$130,MATCH(F532,'MP Calculations'!$D$40:$D$130,0),0),-1))</f>
        <v>7935.5786713099578</v>
      </c>
    </row>
    <row r="533" spans="3:17" x14ac:dyDescent="0.25">
      <c r="C533" s="159"/>
      <c r="D533" s="165" t="s">
        <v>294</v>
      </c>
      <c r="E533" s="161">
        <v>41130</v>
      </c>
      <c r="F533" s="172" t="str">
        <f t="shared" si="24"/>
        <v>2012-13</v>
      </c>
      <c r="G533" s="68"/>
      <c r="H533" s="167" t="s">
        <v>279</v>
      </c>
      <c r="I533" s="173">
        <v>89592.114709699614</v>
      </c>
      <c r="J533" s="168">
        <f>IFERROR(MIN('MP Calculations'!$E$30/I533,1),"-")</f>
        <v>0.31014580161562261</v>
      </c>
      <c r="K533" s="12"/>
      <c r="L533" s="159">
        <v>66.238457999999994</v>
      </c>
      <c r="M533" s="159" t="s">
        <v>408</v>
      </c>
      <c r="N533" s="159">
        <v>1908</v>
      </c>
      <c r="O533" s="185">
        <f t="shared" si="19"/>
        <v>126382.97786399999</v>
      </c>
      <c r="P533" s="215">
        <f t="shared" si="25"/>
        <v>39197.149980199763</v>
      </c>
      <c r="Q533" s="215" cm="1">
        <f t="array" ref="Q533">IF(P533="-",0,P533/(1+'General inputs'!$H$32)^IFERROR(INDEX('MP Calculations'!$C$40:$C$130,MATCH(F533,'MP Calculations'!$D$40:$D$130,0),0),-1))</f>
        <v>59146.85818059335</v>
      </c>
    </row>
    <row r="534" spans="3:17" x14ac:dyDescent="0.25">
      <c r="C534" s="159"/>
      <c r="D534" s="165" t="s">
        <v>294</v>
      </c>
      <c r="E534" s="161">
        <v>41130</v>
      </c>
      <c r="F534" s="172" t="str">
        <f t="shared" ref="F534:F597" si="27">IF(E534="","-",IF(OR(E534&lt;$E$15,E534&gt;$E$16),"ERROR - date outside of range",IF(MONTH(E534)&gt;=7,YEAR(E534)&amp;"-"&amp;IF(YEAR(E534)=1999,"00",IF(AND(YEAR(E534)&gt;=2000,YEAR(E534)&lt;2009),"0","")&amp;RIGHT(YEAR(E534),2)+1),RIGHT(YEAR(E534),4)-1&amp;"-"&amp;RIGHT(YEAR(E534),2))))</f>
        <v>2012-13</v>
      </c>
      <c r="G534" s="68"/>
      <c r="H534" s="167" t="s">
        <v>279</v>
      </c>
      <c r="I534" s="173">
        <v>89592.114709699614</v>
      </c>
      <c r="J534" s="168">
        <f>IFERROR(MIN('MP Calculations'!$E$30/I534,1),"-")</f>
        <v>0.31014580161562261</v>
      </c>
      <c r="K534" s="12"/>
      <c r="L534" s="159">
        <v>75.546302999999995</v>
      </c>
      <c r="M534" s="159" t="s">
        <v>408</v>
      </c>
      <c r="N534" s="159">
        <v>1908</v>
      </c>
      <c r="O534" s="185">
        <f t="shared" si="19"/>
        <v>144142.346124</v>
      </c>
      <c r="P534" s="215">
        <f t="shared" si="25"/>
        <v>44705.143485384513</v>
      </c>
      <c r="Q534" s="215" cm="1">
        <f t="array" ref="Q534">IF(P534="-",0,P534/(1+'General inputs'!$H$32)^IFERROR(INDEX('MP Calculations'!$C$40:$C$130,MATCH(F534,'MP Calculations'!$D$40:$D$130,0),0),-1))</f>
        <v>67458.189766572381</v>
      </c>
    </row>
    <row r="535" spans="3:17" x14ac:dyDescent="0.25">
      <c r="C535" s="159"/>
      <c r="D535" s="165" t="s">
        <v>287</v>
      </c>
      <c r="E535" s="161">
        <v>41130</v>
      </c>
      <c r="F535" s="172" t="str">
        <f t="shared" si="27"/>
        <v>2012-13</v>
      </c>
      <c r="G535" s="68"/>
      <c r="H535" s="167" t="s">
        <v>279</v>
      </c>
      <c r="I535" s="173">
        <v>89592.114709699614</v>
      </c>
      <c r="J535" s="168">
        <f>IFERROR(MIN('MP Calculations'!$E$30/I535,1),"-")</f>
        <v>0.31014580161562261</v>
      </c>
      <c r="K535" s="12"/>
      <c r="L535" s="159">
        <v>17.532012999999999</v>
      </c>
      <c r="M535" s="159" t="s">
        <v>408</v>
      </c>
      <c r="N535" s="159">
        <v>995</v>
      </c>
      <c r="O535" s="185">
        <f t="shared" si="19"/>
        <v>17444.352934999999</v>
      </c>
      <c r="P535" s="215">
        <f t="shared" ref="P535:P597" si="28">IF(O535="-","-",IF(OR(E535&lt;$E$15,E535&gt;$E$16),0,O535*J535))</f>
        <v>5410.2928246914134</v>
      </c>
      <c r="Q535" s="215" cm="1">
        <f t="array" ref="Q535">IF(P535="-",0,P535/(1+'General inputs'!$H$32)^IFERROR(INDEX('MP Calculations'!$C$40:$C$130,MATCH(F535,'MP Calculations'!$D$40:$D$130,0),0),-1))</f>
        <v>8163.9053497295617</v>
      </c>
    </row>
    <row r="536" spans="3:17" x14ac:dyDescent="0.25">
      <c r="C536" s="159"/>
      <c r="D536" s="165" t="s">
        <v>287</v>
      </c>
      <c r="E536" s="161">
        <v>41130</v>
      </c>
      <c r="F536" s="172" t="str">
        <f t="shared" si="27"/>
        <v>2012-13</v>
      </c>
      <c r="G536" s="68"/>
      <c r="H536" s="167" t="s">
        <v>279</v>
      </c>
      <c r="I536" s="173">
        <v>89592.114709699614</v>
      </c>
      <c r="J536" s="168">
        <f>IFERROR(MIN('MP Calculations'!$E$30/I536,1),"-")</f>
        <v>0.31014580161562261</v>
      </c>
      <c r="K536" s="12"/>
      <c r="L536" s="159">
        <v>44.666497</v>
      </c>
      <c r="M536" s="159" t="s">
        <v>408</v>
      </c>
      <c r="N536" s="159">
        <v>995</v>
      </c>
      <c r="O536" s="185">
        <f t="shared" si="19"/>
        <v>44443.164514999997</v>
      </c>
      <c r="P536" s="215">
        <f t="shared" si="28"/>
        <v>13783.860884839667</v>
      </c>
      <c r="Q536" s="215" cm="1">
        <f t="array" ref="Q536">IF(P536="-",0,P536/(1+'General inputs'!$H$32)^IFERROR(INDEX('MP Calculations'!$C$40:$C$130,MATCH(F536,'MP Calculations'!$D$40:$D$130,0),0),-1))</f>
        <v>20799.268960842055</v>
      </c>
    </row>
    <row r="537" spans="3:17" x14ac:dyDescent="0.25">
      <c r="C537" s="159"/>
      <c r="D537" s="165" t="s">
        <v>287</v>
      </c>
      <c r="E537" s="161">
        <v>41130</v>
      </c>
      <c r="F537" s="172" t="str">
        <f t="shared" si="27"/>
        <v>2012-13</v>
      </c>
      <c r="G537" s="68"/>
      <c r="H537" s="167" t="s">
        <v>279</v>
      </c>
      <c r="I537" s="173">
        <v>89592.114709699614</v>
      </c>
      <c r="J537" s="168">
        <f>IFERROR(MIN('MP Calculations'!$E$30/I537,1),"-")</f>
        <v>0.31014580161562261</v>
      </c>
      <c r="K537" s="12"/>
      <c r="L537" s="159">
        <v>87.221294</v>
      </c>
      <c r="M537" s="159" t="s">
        <v>408</v>
      </c>
      <c r="N537" s="159">
        <v>995</v>
      </c>
      <c r="O537" s="185">
        <f t="shared" si="19"/>
        <v>86785.187529999996</v>
      </c>
      <c r="P537" s="215">
        <f t="shared" si="28"/>
        <v>26916.061554853983</v>
      </c>
      <c r="Q537" s="215" cm="1">
        <f t="array" ref="Q537">IF(P537="-",0,P537/(1+'General inputs'!$H$32)^IFERROR(INDEX('MP Calculations'!$C$40:$C$130,MATCH(F537,'MP Calculations'!$D$40:$D$130,0),0),-1))</f>
        <v>40615.209941775363</v>
      </c>
    </row>
    <row r="538" spans="3:17" x14ac:dyDescent="0.25">
      <c r="C538" s="159"/>
      <c r="D538" s="165" t="s">
        <v>287</v>
      </c>
      <c r="E538" s="161">
        <v>41130</v>
      </c>
      <c r="F538" s="172" t="str">
        <f t="shared" si="27"/>
        <v>2012-13</v>
      </c>
      <c r="G538" s="68"/>
      <c r="H538" s="167" t="s">
        <v>279</v>
      </c>
      <c r="I538" s="173">
        <v>89592.114709699614</v>
      </c>
      <c r="J538" s="168">
        <f>IFERROR(MIN('MP Calculations'!$E$30/I538,1),"-")</f>
        <v>0.31014580161562261</v>
      </c>
      <c r="K538" s="12"/>
      <c r="L538" s="159">
        <v>38.737949999999998</v>
      </c>
      <c r="M538" s="159" t="s">
        <v>408</v>
      </c>
      <c r="N538" s="159">
        <v>995</v>
      </c>
      <c r="O538" s="185">
        <f t="shared" si="19"/>
        <v>38544.260249999999</v>
      </c>
      <c r="P538" s="215">
        <f t="shared" si="28"/>
        <v>11954.340492917428</v>
      </c>
      <c r="Q538" s="215" cm="1">
        <f t="array" ref="Q538">IF(P538="-",0,P538/(1+'General inputs'!$H$32)^IFERROR(INDEX('MP Calculations'!$C$40:$C$130,MATCH(F538,'MP Calculations'!$D$40:$D$130,0),0),-1))</f>
        <v>18038.59928934323</v>
      </c>
    </row>
    <row r="539" spans="3:17" x14ac:dyDescent="0.25">
      <c r="C539" s="159"/>
      <c r="D539" s="165" t="s">
        <v>287</v>
      </c>
      <c r="E539" s="161">
        <v>41130</v>
      </c>
      <c r="F539" s="172" t="str">
        <f t="shared" si="27"/>
        <v>2012-13</v>
      </c>
      <c r="G539" s="68"/>
      <c r="H539" s="167" t="s">
        <v>279</v>
      </c>
      <c r="I539" s="173">
        <v>89592.114709699614</v>
      </c>
      <c r="J539" s="168">
        <f>IFERROR(MIN('MP Calculations'!$E$30/I539,1),"-")</f>
        <v>0.31014580161562261</v>
      </c>
      <c r="K539" s="12"/>
      <c r="L539" s="159">
        <v>39.939757999999998</v>
      </c>
      <c r="M539" s="159" t="s">
        <v>408</v>
      </c>
      <c r="N539" s="159">
        <v>995</v>
      </c>
      <c r="O539" s="185">
        <f t="shared" si="19"/>
        <v>39740.059209999999</v>
      </c>
      <c r="P539" s="215">
        <f t="shared" si="28"/>
        <v>12325.212519937755</v>
      </c>
      <c r="Q539" s="215" cm="1">
        <f t="array" ref="Q539">IF(P539="-",0,P539/(1+'General inputs'!$H$32)^IFERROR(INDEX('MP Calculations'!$C$40:$C$130,MATCH(F539,'MP Calculations'!$D$40:$D$130,0),0),-1))</f>
        <v>18598.229650132249</v>
      </c>
    </row>
    <row r="540" spans="3:17" x14ac:dyDescent="0.25">
      <c r="C540" s="159"/>
      <c r="D540" s="165" t="s">
        <v>293</v>
      </c>
      <c r="E540" s="161">
        <v>41130</v>
      </c>
      <c r="F540" s="172" t="str">
        <f t="shared" si="27"/>
        <v>2012-13</v>
      </c>
      <c r="G540" s="68"/>
      <c r="H540" s="167" t="s">
        <v>279</v>
      </c>
      <c r="I540" s="173">
        <v>89592.114709699614</v>
      </c>
      <c r="J540" s="168">
        <f>IFERROR(MIN('MP Calculations'!$E$30/I540,1),"-")</f>
        <v>0.31014580161562261</v>
      </c>
      <c r="K540" s="12"/>
      <c r="L540" s="159">
        <v>12.230570999999999</v>
      </c>
      <c r="M540" s="159" t="s">
        <v>408</v>
      </c>
      <c r="N540" s="159">
        <v>1803</v>
      </c>
      <c r="O540" s="185">
        <f t="shared" si="19"/>
        <v>22051.719513</v>
      </c>
      <c r="P540" s="215">
        <f t="shared" si="28"/>
        <v>6839.248225362252</v>
      </c>
      <c r="Q540" s="215" cm="1">
        <f t="array" ref="Q540">IF(P540="-",0,P540/(1+'General inputs'!$H$32)^IFERROR(INDEX('MP Calculations'!$C$40:$C$130,MATCH(F540,'MP Calculations'!$D$40:$D$130,0),0),-1))</f>
        <v>10320.139220624893</v>
      </c>
    </row>
    <row r="541" spans="3:17" x14ac:dyDescent="0.25">
      <c r="C541" s="159"/>
      <c r="D541" s="165" t="s">
        <v>293</v>
      </c>
      <c r="E541" s="161">
        <v>41130</v>
      </c>
      <c r="F541" s="172" t="str">
        <f t="shared" si="27"/>
        <v>2012-13</v>
      </c>
      <c r="G541" s="68"/>
      <c r="H541" s="167" t="s">
        <v>279</v>
      </c>
      <c r="I541" s="173">
        <v>89592.114709699614</v>
      </c>
      <c r="J541" s="168">
        <f>IFERROR(MIN('MP Calculations'!$E$30/I541,1),"-")</f>
        <v>0.31014580161562261</v>
      </c>
      <c r="K541" s="12"/>
      <c r="L541" s="159">
        <v>28.620218999999999</v>
      </c>
      <c r="M541" s="159" t="s">
        <v>408</v>
      </c>
      <c r="N541" s="159">
        <v>1803</v>
      </c>
      <c r="O541" s="185">
        <f t="shared" si="19"/>
        <v>51602.254857</v>
      </c>
      <c r="P541" s="215">
        <f t="shared" si="28"/>
        <v>16004.222697797921</v>
      </c>
      <c r="Q541" s="215" cm="1">
        <f t="array" ref="Q541">IF(P541="-",0,P541/(1+'General inputs'!$H$32)^IFERROR(INDEX('MP Calculations'!$C$40:$C$130,MATCH(F541,'MP Calculations'!$D$40:$D$130,0),0),-1))</f>
        <v>24149.701972604042</v>
      </c>
    </row>
    <row r="542" spans="3:17" x14ac:dyDescent="0.25">
      <c r="C542" s="159"/>
      <c r="D542" s="165" t="s">
        <v>293</v>
      </c>
      <c r="E542" s="161">
        <v>41130</v>
      </c>
      <c r="F542" s="172" t="str">
        <f t="shared" si="27"/>
        <v>2012-13</v>
      </c>
      <c r="G542" s="68"/>
      <c r="H542" s="167" t="s">
        <v>279</v>
      </c>
      <c r="I542" s="173">
        <v>89592.114709699614</v>
      </c>
      <c r="J542" s="168">
        <f>IFERROR(MIN('MP Calculations'!$E$30/I542,1),"-")</f>
        <v>0.31014580161562261</v>
      </c>
      <c r="K542" s="12"/>
      <c r="L542" s="159">
        <v>25.162158000000002</v>
      </c>
      <c r="M542" s="159" t="s">
        <v>408</v>
      </c>
      <c r="N542" s="159">
        <v>1803</v>
      </c>
      <c r="O542" s="185">
        <f t="shared" ref="O542:O597" si="29">IF(N542="","-",L542*N542)</f>
        <v>45367.370874</v>
      </c>
      <c r="P542" s="215">
        <f t="shared" si="28"/>
        <v>14070.49960690998</v>
      </c>
      <c r="Q542" s="215" cm="1">
        <f t="array" ref="Q542">IF(P542="-",0,P542/(1+'General inputs'!$H$32)^IFERROR(INDEX('MP Calculations'!$C$40:$C$130,MATCH(F542,'MP Calculations'!$D$40:$D$130,0),0),-1))</f>
        <v>21231.794791212971</v>
      </c>
    </row>
    <row r="543" spans="3:17" x14ac:dyDescent="0.25">
      <c r="C543" s="159"/>
      <c r="D543" s="165" t="s">
        <v>293</v>
      </c>
      <c r="E543" s="161">
        <v>41130</v>
      </c>
      <c r="F543" s="172" t="str">
        <f t="shared" si="27"/>
        <v>2012-13</v>
      </c>
      <c r="G543" s="68"/>
      <c r="H543" s="167" t="s">
        <v>279</v>
      </c>
      <c r="I543" s="173">
        <v>89592.114709699614</v>
      </c>
      <c r="J543" s="168">
        <f>IFERROR(MIN('MP Calculations'!$E$30/I543,1),"-")</f>
        <v>0.31014580161562261</v>
      </c>
      <c r="K543" s="12"/>
      <c r="L543" s="159">
        <v>58.401201999999998</v>
      </c>
      <c r="M543" s="159" t="s">
        <v>408</v>
      </c>
      <c r="N543" s="159">
        <v>1803</v>
      </c>
      <c r="O543" s="185">
        <f t="shared" si="29"/>
        <v>105297.367206</v>
      </c>
      <c r="P543" s="215">
        <f t="shared" si="28"/>
        <v>32657.53636011944</v>
      </c>
      <c r="Q543" s="215" cm="1">
        <f t="array" ref="Q543">IF(P543="-",0,P543/(1+'General inputs'!$H$32)^IFERROR(INDEX('MP Calculations'!$C$40:$C$130,MATCH(F543,'MP Calculations'!$D$40:$D$130,0),0),-1))</f>
        <v>49278.85503398304</v>
      </c>
    </row>
    <row r="544" spans="3:17" x14ac:dyDescent="0.25">
      <c r="C544" s="159"/>
      <c r="D544" s="165" t="s">
        <v>726</v>
      </c>
      <c r="E544" s="161">
        <v>41130</v>
      </c>
      <c r="F544" s="172" t="str">
        <f t="shared" si="27"/>
        <v>2012-13</v>
      </c>
      <c r="G544" s="68"/>
      <c r="H544" s="167" t="s">
        <v>279</v>
      </c>
      <c r="I544" s="173">
        <v>89592.114709699614</v>
      </c>
      <c r="J544" s="168">
        <f>IFERROR(MIN('MP Calculations'!$E$30/I544,1),"-")</f>
        <v>0.31014580161562261</v>
      </c>
      <c r="K544" s="12"/>
      <c r="L544" s="159">
        <v>5.4154179999999998</v>
      </c>
      <c r="M544" s="159" t="s">
        <v>408</v>
      </c>
      <c r="N544" s="159">
        <v>3122</v>
      </c>
      <c r="O544" s="185">
        <f t="shared" si="29"/>
        <v>16906.934996</v>
      </c>
      <c r="P544" s="215">
        <f t="shared" si="28"/>
        <v>5243.6149071976433</v>
      </c>
      <c r="Q544" s="215" cm="1">
        <f t="array" ref="Q544">IF(P544="-",0,P544/(1+'General inputs'!$H$32)^IFERROR(INDEX('MP Calculations'!$C$40:$C$130,MATCH(F544,'MP Calculations'!$D$40:$D$130,0),0),-1))</f>
        <v>7912.3953508439126</v>
      </c>
    </row>
    <row r="545" spans="3:17" x14ac:dyDescent="0.25">
      <c r="C545" s="159"/>
      <c r="D545" s="165" t="s">
        <v>293</v>
      </c>
      <c r="E545" s="161">
        <v>41130</v>
      </c>
      <c r="F545" s="172" t="str">
        <f t="shared" si="27"/>
        <v>2012-13</v>
      </c>
      <c r="G545" s="68"/>
      <c r="H545" s="167" t="s">
        <v>279</v>
      </c>
      <c r="I545" s="173">
        <v>89592.114709699614</v>
      </c>
      <c r="J545" s="168">
        <f>IFERROR(MIN('MP Calculations'!$E$30/I545,1),"-")</f>
        <v>0.31014580161562261</v>
      </c>
      <c r="K545" s="12"/>
      <c r="L545" s="159">
        <v>8.7859750000000005</v>
      </c>
      <c r="M545" s="159" t="s">
        <v>408</v>
      </c>
      <c r="N545" s="159">
        <v>1803</v>
      </c>
      <c r="O545" s="185">
        <f t="shared" si="29"/>
        <v>15841.112925000001</v>
      </c>
      <c r="P545" s="215">
        <f t="shared" si="28"/>
        <v>4913.0546666077253</v>
      </c>
      <c r="Q545" s="215" cm="1">
        <f t="array" ref="Q545">IF(P545="-",0,P545/(1+'General inputs'!$H$32)^IFERROR(INDEX('MP Calculations'!$C$40:$C$130,MATCH(F545,'MP Calculations'!$D$40:$D$130,0),0),-1))</f>
        <v>7413.5937879703079</v>
      </c>
    </row>
    <row r="546" spans="3:17" x14ac:dyDescent="0.25">
      <c r="C546" s="159"/>
      <c r="D546" s="165" t="s">
        <v>726</v>
      </c>
      <c r="E546" s="161">
        <v>41130</v>
      </c>
      <c r="F546" s="172" t="str">
        <f t="shared" si="27"/>
        <v>2012-13</v>
      </c>
      <c r="G546" s="68"/>
      <c r="H546" s="167" t="s">
        <v>279</v>
      </c>
      <c r="I546" s="173">
        <v>89592.114709699614</v>
      </c>
      <c r="J546" s="168">
        <f>IFERROR(MIN('MP Calculations'!$E$30/I546,1),"-")</f>
        <v>0.31014580161562261</v>
      </c>
      <c r="K546" s="12"/>
      <c r="L546" s="159">
        <v>1.3989210000000001</v>
      </c>
      <c r="M546" s="159" t="s">
        <v>408</v>
      </c>
      <c r="N546" s="159">
        <v>3122</v>
      </c>
      <c r="O546" s="185">
        <f t="shared" si="29"/>
        <v>4367.4313620000003</v>
      </c>
      <c r="P546" s="215">
        <f t="shared" si="28"/>
        <v>1354.5405007687004</v>
      </c>
      <c r="Q546" s="215" cm="1">
        <f t="array" ref="Q546">IF(P546="-",0,P546/(1+'General inputs'!$H$32)^IFERROR(INDEX('MP Calculations'!$C$40:$C$130,MATCH(F546,'MP Calculations'!$D$40:$D$130,0),0),-1))</f>
        <v>2043.9449026091645</v>
      </c>
    </row>
    <row r="547" spans="3:17" x14ac:dyDescent="0.25">
      <c r="C547" s="159"/>
      <c r="D547" s="165" t="s">
        <v>726</v>
      </c>
      <c r="E547" s="161">
        <v>41130</v>
      </c>
      <c r="F547" s="172" t="str">
        <f t="shared" si="27"/>
        <v>2012-13</v>
      </c>
      <c r="G547" s="68"/>
      <c r="H547" s="167" t="s">
        <v>279</v>
      </c>
      <c r="I547" s="173">
        <v>89592.114709699614</v>
      </c>
      <c r="J547" s="168">
        <f>IFERROR(MIN('MP Calculations'!$E$30/I547,1),"-")</f>
        <v>0.31014580161562261</v>
      </c>
      <c r="K547" s="12"/>
      <c r="L547" s="159">
        <v>2.0539369999999999</v>
      </c>
      <c r="M547" s="159" t="s">
        <v>408</v>
      </c>
      <c r="N547" s="159">
        <v>3122</v>
      </c>
      <c r="O547" s="185">
        <f t="shared" si="29"/>
        <v>6412.3913139999995</v>
      </c>
      <c r="P547" s="215">
        <f t="shared" si="28"/>
        <v>1988.7762443535855</v>
      </c>
      <c r="Q547" s="215" cm="1">
        <f t="array" ref="Q547">IF(P547="-",0,P547/(1+'General inputs'!$H$32)^IFERROR(INDEX('MP Calculations'!$C$40:$C$130,MATCH(F547,'MP Calculations'!$D$40:$D$130,0),0),-1))</f>
        <v>3000.9800849585927</v>
      </c>
    </row>
    <row r="548" spans="3:17" x14ac:dyDescent="0.25">
      <c r="C548" s="159"/>
      <c r="D548" s="165" t="s">
        <v>336</v>
      </c>
      <c r="E548" s="161">
        <v>41130</v>
      </c>
      <c r="F548" s="172" t="str">
        <f t="shared" si="27"/>
        <v>2012-13</v>
      </c>
      <c r="G548" s="68"/>
      <c r="H548" s="167" t="s">
        <v>279</v>
      </c>
      <c r="I548" s="173">
        <v>89592.114709699614</v>
      </c>
      <c r="J548" s="168">
        <f>IFERROR(MIN('MP Calculations'!$E$30/I548,1),"-")</f>
        <v>0.31014580161562261</v>
      </c>
      <c r="K548" s="12"/>
      <c r="L548" s="159">
        <v>2.9445570000000001</v>
      </c>
      <c r="M548" s="159" t="s">
        <v>408</v>
      </c>
      <c r="N548" s="159">
        <v>2439</v>
      </c>
      <c r="O548" s="185">
        <f t="shared" si="29"/>
        <v>7181.774523</v>
      </c>
      <c r="P548" s="215">
        <f t="shared" si="28"/>
        <v>2227.3972164584907</v>
      </c>
      <c r="Q548" s="215" cm="1">
        <f t="array" ref="Q548">IF(P548="-",0,P548/(1+'General inputs'!$H$32)^IFERROR(INDEX('MP Calculations'!$C$40:$C$130,MATCH(F548,'MP Calculations'!$D$40:$D$130,0),0),-1))</f>
        <v>3361.0491410796012</v>
      </c>
    </row>
    <row r="549" spans="3:17" x14ac:dyDescent="0.25">
      <c r="C549" s="159"/>
      <c r="D549" s="165" t="s">
        <v>285</v>
      </c>
      <c r="E549" s="161">
        <v>41130</v>
      </c>
      <c r="F549" s="172" t="str">
        <f t="shared" si="27"/>
        <v>2012-13</v>
      </c>
      <c r="G549" s="68"/>
      <c r="H549" s="167" t="s">
        <v>279</v>
      </c>
      <c r="I549" s="173">
        <v>89592.114709699614</v>
      </c>
      <c r="J549" s="168">
        <f>IFERROR(MIN('MP Calculations'!$E$30/I549,1),"-")</f>
        <v>0.31014580161562261</v>
      </c>
      <c r="K549" s="12"/>
      <c r="L549" s="159">
        <v>1.2738229999999999</v>
      </c>
      <c r="M549" s="159" t="s">
        <v>408</v>
      </c>
      <c r="N549" s="159">
        <v>1708</v>
      </c>
      <c r="O549" s="185">
        <f t="shared" si="29"/>
        <v>2175.6896839999999</v>
      </c>
      <c r="P549" s="215">
        <f t="shared" si="28"/>
        <v>674.78102111102066</v>
      </c>
      <c r="Q549" s="215" cm="1">
        <f t="array" ref="Q549">IF(P549="-",0,P549/(1+'General inputs'!$H$32)^IFERROR(INDEX('MP Calculations'!$C$40:$C$130,MATCH(F549,'MP Calculations'!$D$40:$D$130,0),0),-1))</f>
        <v>1018.2163085522909</v>
      </c>
    </row>
    <row r="550" spans="3:17" x14ac:dyDescent="0.25">
      <c r="C550" s="159"/>
      <c r="D550" s="165" t="s">
        <v>285</v>
      </c>
      <c r="E550" s="161">
        <v>41130</v>
      </c>
      <c r="F550" s="172" t="str">
        <f t="shared" si="27"/>
        <v>2012-13</v>
      </c>
      <c r="G550" s="68"/>
      <c r="H550" s="167" t="s">
        <v>279</v>
      </c>
      <c r="I550" s="173">
        <v>89592.114709699614</v>
      </c>
      <c r="J550" s="168">
        <f>IFERROR(MIN('MP Calculations'!$E$30/I550,1),"-")</f>
        <v>0.31014580161562261</v>
      </c>
      <c r="K550" s="12"/>
      <c r="L550" s="159">
        <v>5.3230209999999998</v>
      </c>
      <c r="M550" s="159" t="s">
        <v>408</v>
      </c>
      <c r="N550" s="159">
        <v>1708</v>
      </c>
      <c r="O550" s="185">
        <f t="shared" si="29"/>
        <v>9091.7198680000001</v>
      </c>
      <c r="P550" s="215">
        <f t="shared" si="28"/>
        <v>2819.7587465255424</v>
      </c>
      <c r="Q550" s="215" cm="1">
        <f t="array" ref="Q550">IF(P550="-",0,P550/(1+'General inputs'!$H$32)^IFERROR(INDEX('MP Calculations'!$C$40:$C$130,MATCH(F550,'MP Calculations'!$D$40:$D$130,0),0),-1))</f>
        <v>4254.8978884557146</v>
      </c>
    </row>
    <row r="551" spans="3:17" x14ac:dyDescent="0.25">
      <c r="C551" s="159"/>
      <c r="D551" s="165" t="s">
        <v>285</v>
      </c>
      <c r="E551" s="161">
        <v>41130</v>
      </c>
      <c r="F551" s="172" t="str">
        <f t="shared" si="27"/>
        <v>2012-13</v>
      </c>
      <c r="G551" s="68"/>
      <c r="H551" s="167" t="s">
        <v>279</v>
      </c>
      <c r="I551" s="173">
        <v>89592.114709699614</v>
      </c>
      <c r="J551" s="168">
        <f>IFERROR(MIN('MP Calculations'!$E$30/I551,1),"-")</f>
        <v>0.31014580161562261</v>
      </c>
      <c r="K551" s="12"/>
      <c r="L551" s="159">
        <v>4.3784070000000002</v>
      </c>
      <c r="M551" s="159" t="s">
        <v>408</v>
      </c>
      <c r="N551" s="159">
        <v>1708</v>
      </c>
      <c r="O551" s="185">
        <f t="shared" si="29"/>
        <v>7478.3191560000005</v>
      </c>
      <c r="P551" s="215">
        <f t="shared" si="28"/>
        <v>2319.3692893750863</v>
      </c>
      <c r="Q551" s="215" cm="1">
        <f t="array" ref="Q551">IF(P551="-",0,P551/(1+'General inputs'!$H$32)^IFERROR(INDEX('MP Calculations'!$C$40:$C$130,MATCH(F551,'MP Calculations'!$D$40:$D$130,0),0),-1))</f>
        <v>3499.8311483459711</v>
      </c>
    </row>
    <row r="552" spans="3:17" x14ac:dyDescent="0.25">
      <c r="C552" s="159"/>
      <c r="D552" s="165" t="s">
        <v>285</v>
      </c>
      <c r="E552" s="161">
        <v>41130</v>
      </c>
      <c r="F552" s="172" t="str">
        <f t="shared" si="27"/>
        <v>2012-13</v>
      </c>
      <c r="G552" s="68"/>
      <c r="H552" s="167" t="s">
        <v>279</v>
      </c>
      <c r="I552" s="173">
        <v>89592.114709699614</v>
      </c>
      <c r="J552" s="168">
        <f>IFERROR(MIN('MP Calculations'!$E$30/I552,1),"-")</f>
        <v>0.31014580161562261</v>
      </c>
      <c r="K552" s="12"/>
      <c r="L552" s="159">
        <v>1.344071</v>
      </c>
      <c r="M552" s="159" t="s">
        <v>408</v>
      </c>
      <c r="N552" s="159">
        <v>1708</v>
      </c>
      <c r="O552" s="185">
        <f t="shared" si="29"/>
        <v>2295.673268</v>
      </c>
      <c r="P552" s="215">
        <f t="shared" si="28"/>
        <v>711.99342595141604</v>
      </c>
      <c r="Q552" s="215" cm="1">
        <f t="array" ref="Q552">IF(P552="-",0,P552/(1+'General inputs'!$H$32)^IFERROR(INDEX('MP Calculations'!$C$40:$C$130,MATCH(F552,'MP Calculations'!$D$40:$D$130,0),0),-1))</f>
        <v>1074.3682694159127</v>
      </c>
    </row>
    <row r="553" spans="3:17" x14ac:dyDescent="0.25">
      <c r="C553" s="159"/>
      <c r="D553" s="165" t="s">
        <v>285</v>
      </c>
      <c r="E553" s="161">
        <v>41130</v>
      </c>
      <c r="F553" s="172" t="str">
        <f t="shared" si="27"/>
        <v>2012-13</v>
      </c>
      <c r="G553" s="68"/>
      <c r="H553" s="167" t="s">
        <v>279</v>
      </c>
      <c r="I553" s="173">
        <v>89592.114709699614</v>
      </c>
      <c r="J553" s="168">
        <f>IFERROR(MIN('MP Calculations'!$E$30/I553,1),"-")</f>
        <v>0.31014580161562261</v>
      </c>
      <c r="K553" s="12"/>
      <c r="L553" s="159">
        <v>1.365313</v>
      </c>
      <c r="M553" s="159" t="s">
        <v>408</v>
      </c>
      <c r="N553" s="159">
        <v>1708</v>
      </c>
      <c r="O553" s="185">
        <f t="shared" si="29"/>
        <v>2331.954604</v>
      </c>
      <c r="P553" s="215">
        <f t="shared" si="28"/>
        <v>723.24592998882179</v>
      </c>
      <c r="Q553" s="215" cm="1">
        <f t="array" ref="Q553">IF(P553="-",0,P553/(1+'General inputs'!$H$32)^IFERROR(INDEX('MP Calculations'!$C$40:$C$130,MATCH(F553,'MP Calculations'!$D$40:$D$130,0),0),-1))</f>
        <v>1091.3478268789729</v>
      </c>
    </row>
    <row r="554" spans="3:17" x14ac:dyDescent="0.25">
      <c r="C554" s="159"/>
      <c r="D554" s="165" t="s">
        <v>976</v>
      </c>
      <c r="E554" s="161">
        <v>41130</v>
      </c>
      <c r="F554" s="172" t="str">
        <f t="shared" si="27"/>
        <v>2012-13</v>
      </c>
      <c r="G554" s="68"/>
      <c r="H554" s="167" t="s">
        <v>279</v>
      </c>
      <c r="I554" s="173">
        <v>89592.114709699614</v>
      </c>
      <c r="J554" s="168">
        <f>IFERROR(MIN('MP Calculations'!$E$30/I554,1),"-")</f>
        <v>0.31014580161562261</v>
      </c>
      <c r="K554" s="12"/>
      <c r="L554" s="159">
        <v>413.79005899999999</v>
      </c>
      <c r="M554" s="159" t="s">
        <v>408</v>
      </c>
      <c r="N554" s="159">
        <v>2785</v>
      </c>
      <c r="O554" s="185">
        <f t="shared" si="29"/>
        <v>1152405.3143149999</v>
      </c>
      <c r="P554" s="215">
        <f t="shared" si="28"/>
        <v>357413.66999432916</v>
      </c>
      <c r="Q554" s="215" cm="1">
        <f t="array" ref="Q554">IF(P554="-",0,P554/(1+'General inputs'!$H$32)^IFERROR(INDEX('MP Calculations'!$C$40:$C$130,MATCH(F554,'MP Calculations'!$D$40:$D$130,0),0),-1))</f>
        <v>539322.26352269715</v>
      </c>
    </row>
    <row r="555" spans="3:17" x14ac:dyDescent="0.25">
      <c r="C555" s="159"/>
      <c r="D555" s="165" t="s">
        <v>976</v>
      </c>
      <c r="E555" s="161">
        <v>41130</v>
      </c>
      <c r="F555" s="172" t="str">
        <f t="shared" si="27"/>
        <v>2012-13</v>
      </c>
      <c r="G555" s="68"/>
      <c r="H555" s="167" t="s">
        <v>279</v>
      </c>
      <c r="I555" s="173">
        <v>89592.114709699614</v>
      </c>
      <c r="J555" s="168">
        <f>IFERROR(MIN('MP Calculations'!$E$30/I555,1),"-")</f>
        <v>0.31014580161562261</v>
      </c>
      <c r="K555" s="12"/>
      <c r="L555" s="159">
        <v>339.71051899999998</v>
      </c>
      <c r="M555" s="159" t="s">
        <v>408</v>
      </c>
      <c r="N555" s="159">
        <v>2785</v>
      </c>
      <c r="O555" s="185">
        <f t="shared" si="29"/>
        <v>946093.79541499994</v>
      </c>
      <c r="P555" s="215">
        <f t="shared" si="28"/>
        <v>293427.01858255203</v>
      </c>
      <c r="Q555" s="215" cm="1">
        <f t="array" ref="Q555">IF(P555="-",0,P555/(1+'General inputs'!$H$32)^IFERROR(INDEX('MP Calculations'!$C$40:$C$130,MATCH(F555,'MP Calculations'!$D$40:$D$130,0),0),-1))</f>
        <v>442769.08558972954</v>
      </c>
    </row>
    <row r="556" spans="3:17" x14ac:dyDescent="0.25">
      <c r="C556" s="159"/>
      <c r="D556" s="165" t="s">
        <v>976</v>
      </c>
      <c r="E556" s="161">
        <v>41130</v>
      </c>
      <c r="F556" s="172" t="str">
        <f t="shared" si="27"/>
        <v>2012-13</v>
      </c>
      <c r="G556" s="68"/>
      <c r="H556" s="167" t="s">
        <v>279</v>
      </c>
      <c r="I556" s="173">
        <v>89592.114709699614</v>
      </c>
      <c r="J556" s="168">
        <f>IFERROR(MIN('MP Calculations'!$E$30/I556,1),"-")</f>
        <v>0.31014580161562261</v>
      </c>
      <c r="K556" s="12"/>
      <c r="L556" s="159">
        <v>3.6897289999999998</v>
      </c>
      <c r="M556" s="159" t="s">
        <v>408</v>
      </c>
      <c r="N556" s="159">
        <v>2785</v>
      </c>
      <c r="O556" s="185">
        <f t="shared" si="29"/>
        <v>10275.895264999999</v>
      </c>
      <c r="P556" s="215">
        <f t="shared" si="28"/>
        <v>3187.0257742816057</v>
      </c>
      <c r="Q556" s="215" cm="1">
        <f t="array" ref="Q556">IF(P556="-",0,P556/(1+'General inputs'!$H$32)^IFERROR(INDEX('MP Calculations'!$C$40:$C$130,MATCH(F556,'MP Calculations'!$D$40:$D$130,0),0),-1))</f>
        <v>4809.0884562921265</v>
      </c>
    </row>
    <row r="557" spans="3:17" x14ac:dyDescent="0.25">
      <c r="C557" s="159"/>
      <c r="D557" s="165" t="s">
        <v>976</v>
      </c>
      <c r="E557" s="161">
        <v>41130</v>
      </c>
      <c r="F557" s="172" t="str">
        <f t="shared" si="27"/>
        <v>2012-13</v>
      </c>
      <c r="G557" s="68"/>
      <c r="H557" s="167" t="s">
        <v>279</v>
      </c>
      <c r="I557" s="173">
        <v>89592.114709699614</v>
      </c>
      <c r="J557" s="168">
        <f>IFERROR(MIN('MP Calculations'!$E$30/I557,1),"-")</f>
        <v>0.31014580161562261</v>
      </c>
      <c r="K557" s="12"/>
      <c r="L557" s="159">
        <v>6.3954789999999999</v>
      </c>
      <c r="M557" s="159" t="s">
        <v>408</v>
      </c>
      <c r="N557" s="159">
        <v>2785</v>
      </c>
      <c r="O557" s="185">
        <f t="shared" si="29"/>
        <v>17811.409015000001</v>
      </c>
      <c r="P557" s="215">
        <f t="shared" si="28"/>
        <v>5524.1337268609022</v>
      </c>
      <c r="Q557" s="215" cm="1">
        <f t="array" ref="Q557">IF(P557="-",0,P557/(1+'General inputs'!$H$32)^IFERROR(INDEX('MP Calculations'!$C$40:$C$130,MATCH(F557,'MP Calculations'!$D$40:$D$130,0),0),-1))</f>
        <v>8335.6865047158517</v>
      </c>
    </row>
    <row r="558" spans="3:17" x14ac:dyDescent="0.25">
      <c r="C558" s="159"/>
      <c r="D558" s="165" t="s">
        <v>976</v>
      </c>
      <c r="E558" s="161">
        <v>41130</v>
      </c>
      <c r="F558" s="172" t="str">
        <f t="shared" si="27"/>
        <v>2012-13</v>
      </c>
      <c r="G558" s="68"/>
      <c r="H558" s="167" t="s">
        <v>279</v>
      </c>
      <c r="I558" s="173">
        <v>89592.114709699614</v>
      </c>
      <c r="J558" s="168">
        <f>IFERROR(MIN('MP Calculations'!$E$30/I558,1),"-")</f>
        <v>0.31014580161562261</v>
      </c>
      <c r="K558" s="12"/>
      <c r="L558" s="159">
        <v>254.52616699999999</v>
      </c>
      <c r="M558" s="159" t="s">
        <v>408</v>
      </c>
      <c r="N558" s="159">
        <v>2785</v>
      </c>
      <c r="O558" s="185">
        <f t="shared" si="29"/>
        <v>708855.37509499991</v>
      </c>
      <c r="P558" s="215">
        <f t="shared" si="28"/>
        <v>219848.51853838158</v>
      </c>
      <c r="Q558" s="215" cm="1">
        <f t="array" ref="Q558">IF(P558="-",0,P558/(1+'General inputs'!$H$32)^IFERROR(INDEX('MP Calculations'!$C$40:$C$130,MATCH(F558,'MP Calculations'!$D$40:$D$130,0),0),-1))</f>
        <v>331742.20967013616</v>
      </c>
    </row>
    <row r="559" spans="3:17" x14ac:dyDescent="0.25">
      <c r="C559" s="159"/>
      <c r="D559" s="165" t="s">
        <v>976</v>
      </c>
      <c r="E559" s="161">
        <v>41130</v>
      </c>
      <c r="F559" s="172" t="str">
        <f t="shared" si="27"/>
        <v>2012-13</v>
      </c>
      <c r="G559" s="68"/>
      <c r="H559" s="167" t="s">
        <v>279</v>
      </c>
      <c r="I559" s="173">
        <v>89592.114709699614</v>
      </c>
      <c r="J559" s="168">
        <f>IFERROR(MIN('MP Calculations'!$E$30/I559,1),"-")</f>
        <v>0.31014580161562261</v>
      </c>
      <c r="K559" s="12"/>
      <c r="L559" s="159">
        <v>52.339554</v>
      </c>
      <c r="M559" s="159" t="s">
        <v>408</v>
      </c>
      <c r="N559" s="159">
        <v>2785</v>
      </c>
      <c r="O559" s="185">
        <f t="shared" si="29"/>
        <v>145765.65789</v>
      </c>
      <c r="P559" s="215">
        <f t="shared" si="28"/>
        <v>45208.606814322658</v>
      </c>
      <c r="Q559" s="215" cm="1">
        <f t="array" ref="Q559">IF(P559="-",0,P559/(1+'General inputs'!$H$32)^IFERROR(INDEX('MP Calculations'!$C$40:$C$130,MATCH(F559,'MP Calculations'!$D$40:$D$130,0),0),-1))</f>
        <v>68217.894850510274</v>
      </c>
    </row>
    <row r="560" spans="3:17" x14ac:dyDescent="0.25">
      <c r="C560" s="159"/>
      <c r="D560" s="165" t="s">
        <v>976</v>
      </c>
      <c r="E560" s="161">
        <v>41130</v>
      </c>
      <c r="F560" s="172" t="str">
        <f t="shared" si="27"/>
        <v>2012-13</v>
      </c>
      <c r="G560" s="68"/>
      <c r="H560" s="167" t="s">
        <v>279</v>
      </c>
      <c r="I560" s="173">
        <v>89592.114709699614</v>
      </c>
      <c r="J560" s="168">
        <f>IFERROR(MIN('MP Calculations'!$E$30/I560,1),"-")</f>
        <v>0.31014580161562261</v>
      </c>
      <c r="K560" s="12"/>
      <c r="L560" s="159">
        <v>295.908255</v>
      </c>
      <c r="M560" s="159" t="s">
        <v>408</v>
      </c>
      <c r="N560" s="159">
        <v>2785</v>
      </c>
      <c r="O560" s="185">
        <f t="shared" si="29"/>
        <v>824104.49017500004</v>
      </c>
      <c r="P560" s="215">
        <f t="shared" si="28"/>
        <v>255592.54772035938</v>
      </c>
      <c r="Q560" s="215" cm="1">
        <f t="array" ref="Q560">IF(P560="-",0,P560/(1+'General inputs'!$H$32)^IFERROR(INDEX('MP Calculations'!$C$40:$C$130,MATCH(F560,'MP Calculations'!$D$40:$D$130,0),0),-1))</f>
        <v>385678.45314440358</v>
      </c>
    </row>
    <row r="561" spans="3:17" x14ac:dyDescent="0.25">
      <c r="C561" s="159"/>
      <c r="D561" s="165" t="s">
        <v>976</v>
      </c>
      <c r="E561" s="161">
        <v>41130</v>
      </c>
      <c r="F561" s="172" t="str">
        <f t="shared" si="27"/>
        <v>2012-13</v>
      </c>
      <c r="G561" s="68"/>
      <c r="H561" s="167" t="s">
        <v>279</v>
      </c>
      <c r="I561" s="173">
        <v>89592.114709699614</v>
      </c>
      <c r="J561" s="168">
        <f>IFERROR(MIN('MP Calculations'!$E$30/I561,1),"-")</f>
        <v>0.31014580161562261</v>
      </c>
      <c r="K561" s="12"/>
      <c r="L561" s="159">
        <v>98.745887999999994</v>
      </c>
      <c r="M561" s="159" t="s">
        <v>408</v>
      </c>
      <c r="N561" s="159">
        <v>2785</v>
      </c>
      <c r="O561" s="185">
        <f t="shared" si="29"/>
        <v>275007.29807999998</v>
      </c>
      <c r="P561" s="215">
        <f t="shared" si="28"/>
        <v>85292.358913168064</v>
      </c>
      <c r="Q561" s="215" cm="1">
        <f t="array" ref="Q561">IF(P561="-",0,P561/(1+'General inputs'!$H$32)^IFERROR(INDEX('MP Calculations'!$C$40:$C$130,MATCH(F561,'MP Calculations'!$D$40:$D$130,0),0),-1))</f>
        <v>128702.59850713024</v>
      </c>
    </row>
    <row r="562" spans="3:17" x14ac:dyDescent="0.25">
      <c r="C562" s="159"/>
      <c r="D562" s="165" t="s">
        <v>976</v>
      </c>
      <c r="E562" s="161">
        <v>41130</v>
      </c>
      <c r="F562" s="172" t="str">
        <f t="shared" si="27"/>
        <v>2012-13</v>
      </c>
      <c r="G562" s="68"/>
      <c r="H562" s="167" t="s">
        <v>279</v>
      </c>
      <c r="I562" s="173">
        <v>89592.114709699614</v>
      </c>
      <c r="J562" s="168">
        <f>IFERROR(MIN('MP Calculations'!$E$30/I562,1),"-")</f>
        <v>0.31014580161562261</v>
      </c>
      <c r="K562" s="12"/>
      <c r="L562" s="159">
        <v>51.123244999999997</v>
      </c>
      <c r="M562" s="159" t="s">
        <v>408</v>
      </c>
      <c r="N562" s="159">
        <v>2785</v>
      </c>
      <c r="O562" s="185">
        <f t="shared" si="29"/>
        <v>142378.23732499999</v>
      </c>
      <c r="P562" s="215">
        <f t="shared" si="28"/>
        <v>44158.01254778148</v>
      </c>
      <c r="Q562" s="215" cm="1">
        <f t="array" ref="Q562">IF(P562="-",0,P562/(1+'General inputs'!$H$32)^IFERROR(INDEX('MP Calculations'!$C$40:$C$130,MATCH(F562,'MP Calculations'!$D$40:$D$130,0),0),-1))</f>
        <v>66632.592089471655</v>
      </c>
    </row>
    <row r="563" spans="3:17" x14ac:dyDescent="0.25">
      <c r="C563" s="159"/>
      <c r="D563" s="165" t="s">
        <v>976</v>
      </c>
      <c r="E563" s="161">
        <v>41130</v>
      </c>
      <c r="F563" s="172" t="str">
        <f t="shared" si="27"/>
        <v>2012-13</v>
      </c>
      <c r="G563" s="68"/>
      <c r="H563" s="167" t="s">
        <v>279</v>
      </c>
      <c r="I563" s="173">
        <v>89592.114709699614</v>
      </c>
      <c r="J563" s="168">
        <f>IFERROR(MIN('MP Calculations'!$E$30/I563,1),"-")</f>
        <v>0.31014580161562261</v>
      </c>
      <c r="K563" s="12"/>
      <c r="L563" s="159">
        <v>205.97356500000001</v>
      </c>
      <c r="M563" s="159" t="s">
        <v>408</v>
      </c>
      <c r="N563" s="159">
        <v>2785</v>
      </c>
      <c r="O563" s="185">
        <f t="shared" si="29"/>
        <v>573636.37852500007</v>
      </c>
      <c r="P563" s="215">
        <f t="shared" si="28"/>
        <v>177910.91445351887</v>
      </c>
      <c r="Q563" s="215" cm="1">
        <f t="array" ref="Q563">IF(P563="-",0,P563/(1+'General inputs'!$H$32)^IFERROR(INDEX('MP Calculations'!$C$40:$C$130,MATCH(F563,'MP Calculations'!$D$40:$D$130,0),0),-1))</f>
        <v>268460.12098526373</v>
      </c>
    </row>
    <row r="564" spans="3:17" x14ac:dyDescent="0.25">
      <c r="C564" s="159"/>
      <c r="D564" s="165" t="s">
        <v>976</v>
      </c>
      <c r="E564" s="161">
        <v>41130</v>
      </c>
      <c r="F564" s="172" t="str">
        <f t="shared" si="27"/>
        <v>2012-13</v>
      </c>
      <c r="G564" s="68"/>
      <c r="H564" s="167" t="s">
        <v>279</v>
      </c>
      <c r="I564" s="173">
        <v>89592.114709699614</v>
      </c>
      <c r="J564" s="168">
        <f>IFERROR(MIN('MP Calculations'!$E$30/I564,1),"-")</f>
        <v>0.31014580161562261</v>
      </c>
      <c r="K564" s="12"/>
      <c r="L564" s="159">
        <v>6.1505390000000002</v>
      </c>
      <c r="M564" s="159" t="s">
        <v>408</v>
      </c>
      <c r="N564" s="159">
        <v>2785</v>
      </c>
      <c r="O564" s="185">
        <f t="shared" si="29"/>
        <v>17129.251114999999</v>
      </c>
      <c r="P564" s="215">
        <f t="shared" si="28"/>
        <v>5312.5653181369717</v>
      </c>
      <c r="Q564" s="215" cm="1">
        <f t="array" ref="Q564">IF(P564="-",0,P564/(1+'General inputs'!$H$32)^IFERROR(INDEX('MP Calculations'!$C$40:$C$130,MATCH(F564,'MP Calculations'!$D$40:$D$130,0),0),-1))</f>
        <v>8016.4386340770598</v>
      </c>
    </row>
    <row r="565" spans="3:17" x14ac:dyDescent="0.25">
      <c r="C565" s="159"/>
      <c r="D565" s="165" t="s">
        <v>976</v>
      </c>
      <c r="E565" s="161">
        <v>41130</v>
      </c>
      <c r="F565" s="172" t="str">
        <f t="shared" si="27"/>
        <v>2012-13</v>
      </c>
      <c r="G565" s="68"/>
      <c r="H565" s="167" t="s">
        <v>279</v>
      </c>
      <c r="I565" s="173">
        <v>89592.114709699614</v>
      </c>
      <c r="J565" s="168">
        <f>IFERROR(MIN('MP Calculations'!$E$30/I565,1),"-")</f>
        <v>0.31014580161562261</v>
      </c>
      <c r="K565" s="12"/>
      <c r="L565" s="159">
        <v>42.343708999999997</v>
      </c>
      <c r="M565" s="159" t="s">
        <v>408</v>
      </c>
      <c r="N565" s="159">
        <v>2785</v>
      </c>
      <c r="O565" s="185">
        <f t="shared" si="29"/>
        <v>117927.22956499999</v>
      </c>
      <c r="P565" s="215">
        <f t="shared" si="28"/>
        <v>36574.63514574647</v>
      </c>
      <c r="Q565" s="215" cm="1">
        <f t="array" ref="Q565">IF(P565="-",0,P565/(1+'General inputs'!$H$32)^IFERROR(INDEX('MP Calculations'!$C$40:$C$130,MATCH(F565,'MP Calculations'!$D$40:$D$130,0),0),-1))</f>
        <v>55189.593097079218</v>
      </c>
    </row>
    <row r="566" spans="3:17" x14ac:dyDescent="0.25">
      <c r="C566" s="159"/>
      <c r="D566" s="165" t="s">
        <v>976</v>
      </c>
      <c r="E566" s="161">
        <v>41130</v>
      </c>
      <c r="F566" s="172" t="str">
        <f t="shared" si="27"/>
        <v>2012-13</v>
      </c>
      <c r="G566" s="68"/>
      <c r="H566" s="167" t="s">
        <v>279</v>
      </c>
      <c r="I566" s="173">
        <v>89592.114709699614</v>
      </c>
      <c r="J566" s="168">
        <f>IFERROR(MIN('MP Calculations'!$E$30/I566,1),"-")</f>
        <v>0.31014580161562261</v>
      </c>
      <c r="K566" s="12"/>
      <c r="L566" s="159">
        <v>2.8686219999999998</v>
      </c>
      <c r="M566" s="159" t="s">
        <v>408</v>
      </c>
      <c r="N566" s="159">
        <v>2785</v>
      </c>
      <c r="O566" s="185">
        <f t="shared" si="29"/>
        <v>7989.1122699999996</v>
      </c>
      <c r="P566" s="215">
        <f t="shared" si="28"/>
        <v>2477.7896291763564</v>
      </c>
      <c r="Q566" s="215" cm="1">
        <f t="array" ref="Q566">IF(P566="-",0,P566/(1+'General inputs'!$H$32)^IFERROR(INDEX('MP Calculations'!$C$40:$C$130,MATCH(F566,'MP Calculations'!$D$40:$D$130,0),0),-1))</f>
        <v>3738.8808082289056</v>
      </c>
    </row>
    <row r="567" spans="3:17" x14ac:dyDescent="0.25">
      <c r="C567" s="159"/>
      <c r="D567" s="165" t="s">
        <v>976</v>
      </c>
      <c r="E567" s="161">
        <v>41130</v>
      </c>
      <c r="F567" s="172" t="str">
        <f t="shared" si="27"/>
        <v>2012-13</v>
      </c>
      <c r="G567" s="68"/>
      <c r="H567" s="167" t="s">
        <v>279</v>
      </c>
      <c r="I567" s="173">
        <v>89592.114709699614</v>
      </c>
      <c r="J567" s="168">
        <f>IFERROR(MIN('MP Calculations'!$E$30/I567,1),"-")</f>
        <v>0.31014580161562261</v>
      </c>
      <c r="K567" s="12"/>
      <c r="L567" s="159">
        <v>56.149966999999997</v>
      </c>
      <c r="M567" s="159" t="s">
        <v>408</v>
      </c>
      <c r="N567" s="159">
        <v>2785</v>
      </c>
      <c r="O567" s="185">
        <f t="shared" si="29"/>
        <v>156377.65809499999</v>
      </c>
      <c r="P567" s="215">
        <f t="shared" si="28"/>
        <v>48499.874124647526</v>
      </c>
      <c r="Q567" s="215" cm="1">
        <f t="array" ref="Q567">IF(P567="-",0,P567/(1+'General inputs'!$H$32)^IFERROR(INDEX('MP Calculations'!$C$40:$C$130,MATCH(F567,'MP Calculations'!$D$40:$D$130,0),0),-1))</f>
        <v>73184.27942021862</v>
      </c>
    </row>
    <row r="568" spans="3:17" x14ac:dyDescent="0.25">
      <c r="C568" s="159"/>
      <c r="D568" s="165" t="s">
        <v>976</v>
      </c>
      <c r="E568" s="161">
        <v>41130</v>
      </c>
      <c r="F568" s="172" t="str">
        <f t="shared" si="27"/>
        <v>2012-13</v>
      </c>
      <c r="G568" s="68"/>
      <c r="H568" s="167" t="s">
        <v>279</v>
      </c>
      <c r="I568" s="173">
        <v>89592.114709699614</v>
      </c>
      <c r="J568" s="168">
        <f>IFERROR(MIN('MP Calculations'!$E$30/I568,1),"-")</f>
        <v>0.31014580161562261</v>
      </c>
      <c r="K568" s="12"/>
      <c r="L568" s="159">
        <v>28.056339000000001</v>
      </c>
      <c r="M568" s="159" t="s">
        <v>408</v>
      </c>
      <c r="N568" s="159">
        <v>2785</v>
      </c>
      <c r="O568" s="185">
        <f t="shared" si="29"/>
        <v>78136.904114999998</v>
      </c>
      <c r="P568" s="215">
        <f t="shared" si="28"/>
        <v>24233.832762509715</v>
      </c>
      <c r="Q568" s="215" cm="1">
        <f t="array" ref="Q568">IF(P568="-",0,P568/(1+'General inputs'!$H$32)^IFERROR(INDEX('MP Calculations'!$C$40:$C$130,MATCH(F568,'MP Calculations'!$D$40:$D$130,0),0),-1))</f>
        <v>36567.838995958395</v>
      </c>
    </row>
    <row r="569" spans="3:17" x14ac:dyDescent="0.25">
      <c r="C569" s="159"/>
      <c r="D569" s="165" t="s">
        <v>976</v>
      </c>
      <c r="E569" s="161">
        <v>41130</v>
      </c>
      <c r="F569" s="172" t="str">
        <f t="shared" si="27"/>
        <v>2012-13</v>
      </c>
      <c r="G569" s="68"/>
      <c r="H569" s="167" t="s">
        <v>279</v>
      </c>
      <c r="I569" s="173">
        <v>89592.114709699614</v>
      </c>
      <c r="J569" s="168">
        <f>IFERROR(MIN('MP Calculations'!$E$30/I569,1),"-")</f>
        <v>0.31014580161562261</v>
      </c>
      <c r="K569" s="12"/>
      <c r="L569" s="159">
        <v>60.199981999999999</v>
      </c>
      <c r="M569" s="159" t="s">
        <v>408</v>
      </c>
      <c r="N569" s="159">
        <v>2785</v>
      </c>
      <c r="O569" s="185">
        <f t="shared" si="29"/>
        <v>167656.94986999998</v>
      </c>
      <c r="P569" s="215">
        <f t="shared" si="28"/>
        <v>51998.099113861397</v>
      </c>
      <c r="Q569" s="215" cm="1">
        <f t="array" ref="Q569">IF(P569="-",0,P569/(1+'General inputs'!$H$32)^IFERROR(INDEX('MP Calculations'!$C$40:$C$130,MATCH(F569,'MP Calculations'!$D$40:$D$130,0),0),-1))</f>
        <v>78462.9544622908</v>
      </c>
    </row>
    <row r="570" spans="3:17" x14ac:dyDescent="0.25">
      <c r="C570" s="159"/>
      <c r="D570" s="165" t="s">
        <v>976</v>
      </c>
      <c r="E570" s="161">
        <v>41130</v>
      </c>
      <c r="F570" s="172" t="str">
        <f t="shared" si="27"/>
        <v>2012-13</v>
      </c>
      <c r="G570" s="68"/>
      <c r="H570" s="167" t="s">
        <v>279</v>
      </c>
      <c r="I570" s="173">
        <v>89592.114709699614</v>
      </c>
      <c r="J570" s="168">
        <f>IFERROR(MIN('MP Calculations'!$E$30/I570,1),"-")</f>
        <v>0.31014580161562261</v>
      </c>
      <c r="K570" s="12"/>
      <c r="L570" s="159">
        <v>6.500051</v>
      </c>
      <c r="M570" s="159" t="s">
        <v>408</v>
      </c>
      <c r="N570" s="159">
        <v>2785</v>
      </c>
      <c r="O570" s="185">
        <f t="shared" si="29"/>
        <v>18102.642035000001</v>
      </c>
      <c r="P570" s="215">
        <f t="shared" si="28"/>
        <v>5614.458425305741</v>
      </c>
      <c r="Q570" s="215" cm="1">
        <f t="array" ref="Q570">IF(P570="-",0,P570/(1+'General inputs'!$H$32)^IFERROR(INDEX('MP Calculations'!$C$40:$C$130,MATCH(F570,'MP Calculations'!$D$40:$D$130,0),0),-1))</f>
        <v>8471.982692878013</v>
      </c>
    </row>
    <row r="571" spans="3:17" x14ac:dyDescent="0.25">
      <c r="C571" s="159"/>
      <c r="D571" s="165" t="s">
        <v>976</v>
      </c>
      <c r="E571" s="161">
        <v>41130</v>
      </c>
      <c r="F571" s="172" t="str">
        <f t="shared" si="27"/>
        <v>2012-13</v>
      </c>
      <c r="G571" s="68"/>
      <c r="H571" s="167" t="s">
        <v>279</v>
      </c>
      <c r="I571" s="173">
        <v>89592.114709699614</v>
      </c>
      <c r="J571" s="168">
        <f>IFERROR(MIN('MP Calculations'!$E$30/I571,1),"-")</f>
        <v>0.31014580161562261</v>
      </c>
      <c r="K571" s="12"/>
      <c r="L571" s="159">
        <v>78.512664999999998</v>
      </c>
      <c r="M571" s="159" t="s">
        <v>408</v>
      </c>
      <c r="N571" s="159">
        <v>2785</v>
      </c>
      <c r="O571" s="185">
        <f t="shared" si="29"/>
        <v>218657.77202499998</v>
      </c>
      <c r="P571" s="215">
        <f t="shared" si="28"/>
        <v>67815.789984179675</v>
      </c>
      <c r="Q571" s="215" cm="1">
        <f t="array" ref="Q571">IF(P571="-",0,P571/(1+'General inputs'!$H$32)^IFERROR(INDEX('MP Calculations'!$C$40:$C$130,MATCH(F571,'MP Calculations'!$D$40:$D$130,0),0),-1))</f>
        <v>102331.18771710085</v>
      </c>
    </row>
    <row r="572" spans="3:17" x14ac:dyDescent="0.25">
      <c r="C572" s="159"/>
      <c r="D572" s="165" t="s">
        <v>976</v>
      </c>
      <c r="E572" s="161">
        <v>41130</v>
      </c>
      <c r="F572" s="172" t="str">
        <f t="shared" si="27"/>
        <v>2012-13</v>
      </c>
      <c r="G572" s="68"/>
      <c r="H572" s="167" t="s">
        <v>279</v>
      </c>
      <c r="I572" s="173">
        <v>89592.114709699614</v>
      </c>
      <c r="J572" s="168">
        <f>IFERROR(MIN('MP Calculations'!$E$30/I572,1),"-")</f>
        <v>0.31014580161562261</v>
      </c>
      <c r="K572" s="12"/>
      <c r="L572" s="159">
        <v>15.979993</v>
      </c>
      <c r="M572" s="159" t="s">
        <v>408</v>
      </c>
      <c r="N572" s="159">
        <v>2785</v>
      </c>
      <c r="O572" s="185">
        <f t="shared" si="29"/>
        <v>44504.280505000002</v>
      </c>
      <c r="P572" s="215">
        <f t="shared" si="28"/>
        <v>13802.815752549752</v>
      </c>
      <c r="Q572" s="215" cm="1">
        <f t="array" ref="Q572">IF(P572="-",0,P572/(1+'General inputs'!$H$32)^IFERROR(INDEX('MP Calculations'!$C$40:$C$130,MATCH(F572,'MP Calculations'!$D$40:$D$130,0),0),-1))</f>
        <v>20827.871062598093</v>
      </c>
    </row>
    <row r="573" spans="3:17" x14ac:dyDescent="0.25">
      <c r="C573" s="159"/>
      <c r="D573" s="165" t="s">
        <v>976</v>
      </c>
      <c r="E573" s="161">
        <v>41130</v>
      </c>
      <c r="F573" s="172" t="str">
        <f t="shared" si="27"/>
        <v>2012-13</v>
      </c>
      <c r="G573" s="68"/>
      <c r="H573" s="167" t="s">
        <v>279</v>
      </c>
      <c r="I573" s="173">
        <v>89592.114709699614</v>
      </c>
      <c r="J573" s="168">
        <f>IFERROR(MIN('MP Calculations'!$E$30/I573,1),"-")</f>
        <v>0.31014580161562261</v>
      </c>
      <c r="K573" s="12"/>
      <c r="L573" s="159">
        <v>2.8028550000000001</v>
      </c>
      <c r="M573" s="159" t="s">
        <v>408</v>
      </c>
      <c r="N573" s="159">
        <v>2785</v>
      </c>
      <c r="O573" s="185">
        <f t="shared" si="29"/>
        <v>7805.9511750000001</v>
      </c>
      <c r="P573" s="215">
        <f t="shared" si="28"/>
        <v>2420.9829845427862</v>
      </c>
      <c r="Q573" s="215" cm="1">
        <f t="array" ref="Q573">IF(P573="-",0,P573/(1+'General inputs'!$H$32)^IFERROR(INDEX('MP Calculations'!$C$40:$C$130,MATCH(F573,'MP Calculations'!$D$40:$D$130,0),0),-1))</f>
        <v>3653.1619599056376</v>
      </c>
    </row>
    <row r="574" spans="3:17" x14ac:dyDescent="0.25">
      <c r="C574" s="159"/>
      <c r="D574" s="165" t="s">
        <v>976</v>
      </c>
      <c r="E574" s="161">
        <v>41130</v>
      </c>
      <c r="F574" s="172" t="str">
        <f t="shared" si="27"/>
        <v>2012-13</v>
      </c>
      <c r="G574" s="68"/>
      <c r="H574" s="167" t="s">
        <v>279</v>
      </c>
      <c r="I574" s="173">
        <v>89592.114709699614</v>
      </c>
      <c r="J574" s="168">
        <f>IFERROR(MIN('MP Calculations'!$E$30/I574,1),"-")</f>
        <v>0.31014580161562261</v>
      </c>
      <c r="K574" s="12"/>
      <c r="L574" s="159">
        <v>70.000013999999993</v>
      </c>
      <c r="M574" s="159" t="s">
        <v>408</v>
      </c>
      <c r="N574" s="159">
        <v>2785</v>
      </c>
      <c r="O574" s="185">
        <f t="shared" si="29"/>
        <v>194950.03898999997</v>
      </c>
      <c r="P574" s="215">
        <f t="shared" si="28"/>
        <v>60462.936117550424</v>
      </c>
      <c r="Q574" s="215" cm="1">
        <f t="array" ref="Q574">IF(P574="-",0,P574/(1+'General inputs'!$H$32)^IFERROR(INDEX('MP Calculations'!$C$40:$C$130,MATCH(F574,'MP Calculations'!$D$40:$D$130,0),0),-1))</f>
        <v>91236.039087880767</v>
      </c>
    </row>
    <row r="575" spans="3:17" x14ac:dyDescent="0.25">
      <c r="C575" s="159"/>
      <c r="D575" s="165" t="s">
        <v>976</v>
      </c>
      <c r="E575" s="161">
        <v>41130</v>
      </c>
      <c r="F575" s="172" t="str">
        <f t="shared" si="27"/>
        <v>2012-13</v>
      </c>
      <c r="G575" s="68"/>
      <c r="H575" s="167" t="s">
        <v>279</v>
      </c>
      <c r="I575" s="173">
        <v>89592.114709699614</v>
      </c>
      <c r="J575" s="168">
        <f>IFERROR(MIN('MP Calculations'!$E$30/I575,1),"-")</f>
        <v>0.31014580161562261</v>
      </c>
      <c r="K575" s="12"/>
      <c r="L575" s="159">
        <v>56.024062999999998</v>
      </c>
      <c r="M575" s="159" t="s">
        <v>408</v>
      </c>
      <c r="N575" s="159">
        <v>2785</v>
      </c>
      <c r="O575" s="185">
        <f t="shared" si="29"/>
        <v>156027.01545499999</v>
      </c>
      <c r="P575" s="215">
        <f t="shared" si="28"/>
        <v>48391.123781984112</v>
      </c>
      <c r="Q575" s="215" cm="1">
        <f t="array" ref="Q575">IF(P575="-",0,P575/(1+'General inputs'!$H$32)^IFERROR(INDEX('MP Calculations'!$C$40:$C$130,MATCH(F575,'MP Calculations'!$D$40:$D$130,0),0),-1))</f>
        <v>73020.179706391136</v>
      </c>
    </row>
    <row r="576" spans="3:17" x14ac:dyDescent="0.25">
      <c r="C576" s="159"/>
      <c r="D576" s="165" t="s">
        <v>976</v>
      </c>
      <c r="E576" s="161">
        <v>41130</v>
      </c>
      <c r="F576" s="172" t="str">
        <f t="shared" si="27"/>
        <v>2012-13</v>
      </c>
      <c r="G576" s="68"/>
      <c r="H576" s="167" t="s">
        <v>279</v>
      </c>
      <c r="I576" s="173">
        <v>89592.114709699614</v>
      </c>
      <c r="J576" s="168">
        <f>IFERROR(MIN('MP Calculations'!$E$30/I576,1),"-")</f>
        <v>0.31014580161562261</v>
      </c>
      <c r="K576" s="12"/>
      <c r="L576" s="159">
        <v>12.092371</v>
      </c>
      <c r="M576" s="159" t="s">
        <v>408</v>
      </c>
      <c r="N576" s="159">
        <v>2785</v>
      </c>
      <c r="O576" s="185">
        <f t="shared" si="29"/>
        <v>33677.253234999996</v>
      </c>
      <c r="P576" s="215">
        <f t="shared" si="28"/>
        <v>10444.858700781393</v>
      </c>
      <c r="Q576" s="215" cm="1">
        <f t="array" ref="Q576">IF(P576="-",0,P576/(1+'General inputs'!$H$32)^IFERROR(INDEX('MP Calculations'!$C$40:$C$130,MATCH(F576,'MP Calculations'!$D$40:$D$130,0),0),-1))</f>
        <v>15760.854465274189</v>
      </c>
    </row>
    <row r="577" spans="3:17" x14ac:dyDescent="0.25">
      <c r="C577" s="159"/>
      <c r="D577" s="165" t="s">
        <v>976</v>
      </c>
      <c r="E577" s="161">
        <v>41130</v>
      </c>
      <c r="F577" s="172" t="str">
        <f t="shared" si="27"/>
        <v>2012-13</v>
      </c>
      <c r="G577" s="68"/>
      <c r="H577" s="167" t="s">
        <v>279</v>
      </c>
      <c r="I577" s="173">
        <v>89592.114709699614</v>
      </c>
      <c r="J577" s="168">
        <f>IFERROR(MIN('MP Calculations'!$E$30/I577,1),"-")</f>
        <v>0.31014580161562261</v>
      </c>
      <c r="K577" s="12"/>
      <c r="L577" s="159">
        <v>13.960005000000001</v>
      </c>
      <c r="M577" s="159" t="s">
        <v>408</v>
      </c>
      <c r="N577" s="159">
        <v>2785</v>
      </c>
      <c r="O577" s="185">
        <f t="shared" si="29"/>
        <v>38878.613925000005</v>
      </c>
      <c r="P577" s="215">
        <f t="shared" si="28"/>
        <v>12058.038881473434</v>
      </c>
      <c r="Q577" s="215" cm="1">
        <f t="array" ref="Q577">IF(P577="-",0,P577/(1+'General inputs'!$H$32)^IFERROR(INDEX('MP Calculations'!$C$40:$C$130,MATCH(F577,'MP Calculations'!$D$40:$D$130,0),0),-1))</f>
        <v>18195.075815942138</v>
      </c>
    </row>
    <row r="578" spans="3:17" x14ac:dyDescent="0.25">
      <c r="C578" s="159"/>
      <c r="D578" s="165" t="s">
        <v>976</v>
      </c>
      <c r="E578" s="161">
        <v>41130</v>
      </c>
      <c r="F578" s="172" t="str">
        <f t="shared" si="27"/>
        <v>2012-13</v>
      </c>
      <c r="G578" s="68"/>
      <c r="H578" s="167" t="s">
        <v>279</v>
      </c>
      <c r="I578" s="173">
        <v>89592.114709699614</v>
      </c>
      <c r="J578" s="168">
        <f>IFERROR(MIN('MP Calculations'!$E$30/I578,1),"-")</f>
        <v>0.31014580161562261</v>
      </c>
      <c r="K578" s="12"/>
      <c r="L578" s="159">
        <v>356.42274300000003</v>
      </c>
      <c r="M578" s="159" t="s">
        <v>408</v>
      </c>
      <c r="N578" s="159">
        <v>2785</v>
      </c>
      <c r="O578" s="185">
        <f t="shared" si="29"/>
        <v>992637.33925500012</v>
      </c>
      <c r="P578" s="215">
        <f t="shared" si="28"/>
        <v>307862.30329684075</v>
      </c>
      <c r="Q578" s="215" cm="1">
        <f t="array" ref="Q578">IF(P578="-",0,P578/(1+'General inputs'!$H$32)^IFERROR(INDEX('MP Calculations'!$C$40:$C$130,MATCH(F578,'MP Calculations'!$D$40:$D$130,0),0),-1))</f>
        <v>464551.32583484467</v>
      </c>
    </row>
    <row r="579" spans="3:17" x14ac:dyDescent="0.25">
      <c r="C579" s="159"/>
      <c r="D579" s="165" t="s">
        <v>976</v>
      </c>
      <c r="E579" s="161">
        <v>41130</v>
      </c>
      <c r="F579" s="172" t="str">
        <f t="shared" si="27"/>
        <v>2012-13</v>
      </c>
      <c r="G579" s="68"/>
      <c r="H579" s="167" t="s">
        <v>279</v>
      </c>
      <c r="I579" s="173">
        <v>89592.114709699614</v>
      </c>
      <c r="J579" s="168">
        <f>IFERROR(MIN('MP Calculations'!$E$30/I579,1),"-")</f>
        <v>0.31014580161562261</v>
      </c>
      <c r="K579" s="12"/>
      <c r="L579" s="159">
        <v>24.000004000000001</v>
      </c>
      <c r="M579" s="159" t="s">
        <v>408</v>
      </c>
      <c r="N579" s="159">
        <v>2785</v>
      </c>
      <c r="O579" s="185">
        <f t="shared" si="29"/>
        <v>66840.011140000002</v>
      </c>
      <c r="P579" s="215">
        <f t="shared" si="28"/>
        <v>20730.148835012445</v>
      </c>
      <c r="Q579" s="215" cm="1">
        <f t="array" ref="Q579">IF(P579="-",0,P579/(1+'General inputs'!$H$32)^IFERROR(INDEX('MP Calculations'!$C$40:$C$130,MATCH(F579,'MP Calculations'!$D$40:$D$130,0),0),-1))</f>
        <v>31280.92664457603</v>
      </c>
    </row>
    <row r="580" spans="3:17" x14ac:dyDescent="0.25">
      <c r="C580" s="159"/>
      <c r="D580" s="165" t="s">
        <v>976</v>
      </c>
      <c r="E580" s="161">
        <v>41130</v>
      </c>
      <c r="F580" s="172" t="str">
        <f t="shared" si="27"/>
        <v>2012-13</v>
      </c>
      <c r="G580" s="68"/>
      <c r="H580" s="167" t="s">
        <v>279</v>
      </c>
      <c r="I580" s="173">
        <v>89592.114709699614</v>
      </c>
      <c r="J580" s="168">
        <f>IFERROR(MIN('MP Calculations'!$E$30/I580,1),"-")</f>
        <v>0.31014580161562261</v>
      </c>
      <c r="K580" s="12"/>
      <c r="L580" s="159">
        <v>180.87850599999999</v>
      </c>
      <c r="M580" s="159" t="s">
        <v>408</v>
      </c>
      <c r="N580" s="159">
        <v>2785</v>
      </c>
      <c r="O580" s="185">
        <f t="shared" si="29"/>
        <v>503746.63920999994</v>
      </c>
      <c r="P580" s="215">
        <f t="shared" si="28"/>
        <v>156234.90522896126</v>
      </c>
      <c r="Q580" s="215" cm="1">
        <f t="array" ref="Q580">IF(P580="-",0,P580/(1+'General inputs'!$H$32)^IFERROR(INDEX('MP Calculations'!$C$40:$C$130,MATCH(F580,'MP Calculations'!$D$40:$D$130,0),0),-1))</f>
        <v>235751.93061494923</v>
      </c>
    </row>
    <row r="581" spans="3:17" x14ac:dyDescent="0.25">
      <c r="C581" s="159"/>
      <c r="D581" s="165" t="s">
        <v>295</v>
      </c>
      <c r="E581" s="161">
        <v>41130</v>
      </c>
      <c r="F581" s="172" t="str">
        <f t="shared" si="27"/>
        <v>2012-13</v>
      </c>
      <c r="G581" s="68"/>
      <c r="H581" s="167" t="s">
        <v>279</v>
      </c>
      <c r="I581" s="173">
        <v>89592.114709699614</v>
      </c>
      <c r="J581" s="168">
        <f>IFERROR(MIN('MP Calculations'!$E$30/I581,1),"-")</f>
        <v>0.31014580161562261</v>
      </c>
      <c r="K581" s="12"/>
      <c r="L581" s="159">
        <v>21.370175</v>
      </c>
      <c r="M581" s="159" t="s">
        <v>408</v>
      </c>
      <c r="N581" s="159">
        <v>236</v>
      </c>
      <c r="O581" s="185">
        <f t="shared" si="29"/>
        <v>5043.3612999999996</v>
      </c>
      <c r="P581" s="215">
        <f t="shared" si="28"/>
        <v>1564.1773332257085</v>
      </c>
      <c r="Q581" s="215" cm="1">
        <f t="array" ref="Q581">IF(P581="-",0,P581/(1+'General inputs'!$H$32)^IFERROR(INDEX('MP Calculations'!$C$40:$C$130,MATCH(F581,'MP Calculations'!$D$40:$D$130,0),0),-1))</f>
        <v>2360.2781055340438</v>
      </c>
    </row>
    <row r="582" spans="3:17" x14ac:dyDescent="0.25">
      <c r="C582" s="159"/>
      <c r="D582" s="165" t="s">
        <v>295</v>
      </c>
      <c r="E582" s="161">
        <v>41130</v>
      </c>
      <c r="F582" s="172" t="str">
        <f t="shared" si="27"/>
        <v>2012-13</v>
      </c>
      <c r="G582" s="68"/>
      <c r="H582" s="167" t="s">
        <v>279</v>
      </c>
      <c r="I582" s="173">
        <v>89592.114709699614</v>
      </c>
      <c r="J582" s="168">
        <f>IFERROR(MIN('MP Calculations'!$E$30/I582,1),"-")</f>
        <v>0.31014580161562261</v>
      </c>
      <c r="K582" s="12"/>
      <c r="L582" s="159">
        <v>1.453203</v>
      </c>
      <c r="M582" s="159" t="s">
        <v>408</v>
      </c>
      <c r="N582" s="159">
        <v>236</v>
      </c>
      <c r="O582" s="185">
        <f t="shared" si="29"/>
        <v>342.95590800000002</v>
      </c>
      <c r="P582" s="215">
        <f t="shared" si="28"/>
        <v>106.36633500547373</v>
      </c>
      <c r="Q582" s="215" cm="1">
        <f t="array" ref="Q582">IF(P582="-",0,P582/(1+'General inputs'!$H$32)^IFERROR(INDEX('MP Calculations'!$C$40:$C$130,MATCH(F582,'MP Calculations'!$D$40:$D$130,0),0),-1))</f>
        <v>160.50234608731046</v>
      </c>
    </row>
    <row r="583" spans="3:17" x14ac:dyDescent="0.25">
      <c r="C583" s="159"/>
      <c r="D583" s="165" t="s">
        <v>976</v>
      </c>
      <c r="E583" s="161">
        <v>41130</v>
      </c>
      <c r="F583" s="172" t="str">
        <f t="shared" si="27"/>
        <v>2012-13</v>
      </c>
      <c r="G583" s="68"/>
      <c r="H583" s="167" t="s">
        <v>279</v>
      </c>
      <c r="I583" s="173">
        <v>89592.114709699614</v>
      </c>
      <c r="J583" s="168">
        <f>IFERROR(MIN('MP Calculations'!$E$30/I583,1),"-")</f>
        <v>0.31014580161562261</v>
      </c>
      <c r="K583" s="12"/>
      <c r="L583" s="159">
        <v>49.747813999999998</v>
      </c>
      <c r="M583" s="159" t="s">
        <v>408</v>
      </c>
      <c r="N583" s="159">
        <v>2785</v>
      </c>
      <c r="O583" s="185">
        <f t="shared" si="29"/>
        <v>138547.66198999999</v>
      </c>
      <c r="P583" s="215">
        <f t="shared" si="28"/>
        <v>42969.975689858875</v>
      </c>
      <c r="Q583" s="215" cm="1">
        <f t="array" ref="Q583">IF(P583="-",0,P583/(1+'General inputs'!$H$32)^IFERROR(INDEX('MP Calculations'!$C$40:$C$130,MATCH(F583,'MP Calculations'!$D$40:$D$130,0),0),-1))</f>
        <v>64839.894212601474</v>
      </c>
    </row>
    <row r="584" spans="3:17" x14ac:dyDescent="0.25">
      <c r="C584" s="159"/>
      <c r="D584" s="165" t="s">
        <v>976</v>
      </c>
      <c r="E584" s="161">
        <v>41130</v>
      </c>
      <c r="F584" s="172" t="str">
        <f t="shared" si="27"/>
        <v>2012-13</v>
      </c>
      <c r="G584" s="68"/>
      <c r="H584" s="167" t="s">
        <v>279</v>
      </c>
      <c r="I584" s="173">
        <v>89592.114709699614</v>
      </c>
      <c r="J584" s="168">
        <f>IFERROR(MIN('MP Calculations'!$E$30/I584,1),"-")</f>
        <v>0.31014580161562261</v>
      </c>
      <c r="K584" s="12"/>
      <c r="L584" s="159">
        <v>194.38064600000001</v>
      </c>
      <c r="M584" s="159" t="s">
        <v>408</v>
      </c>
      <c r="N584" s="159">
        <v>2785</v>
      </c>
      <c r="O584" s="185">
        <f t="shared" si="29"/>
        <v>541350.09911000007</v>
      </c>
      <c r="P584" s="215">
        <f t="shared" si="28"/>
        <v>167897.46044316771</v>
      </c>
      <c r="Q584" s="215" cm="1">
        <f t="array" ref="Q584">IF(P584="-",0,P584/(1+'General inputs'!$H$32)^IFERROR(INDEX('MP Calculations'!$C$40:$C$130,MATCH(F584,'MP Calculations'!$D$40:$D$130,0),0),-1))</f>
        <v>253350.23813543119</v>
      </c>
    </row>
    <row r="585" spans="3:17" x14ac:dyDescent="0.25">
      <c r="C585" s="159"/>
      <c r="D585" s="165" t="s">
        <v>285</v>
      </c>
      <c r="E585" s="161">
        <v>41130</v>
      </c>
      <c r="F585" s="172" t="str">
        <f t="shared" si="27"/>
        <v>2012-13</v>
      </c>
      <c r="G585" s="68"/>
      <c r="H585" s="167" t="s">
        <v>279</v>
      </c>
      <c r="I585" s="173">
        <v>89592.114709699614</v>
      </c>
      <c r="J585" s="168">
        <f>IFERROR(MIN('MP Calculations'!$E$30/I585,1),"-")</f>
        <v>0.31014580161562261</v>
      </c>
      <c r="K585" s="12"/>
      <c r="L585" s="159">
        <v>5.8961490000000003</v>
      </c>
      <c r="M585" s="159" t="s">
        <v>408</v>
      </c>
      <c r="N585" s="159">
        <v>1708</v>
      </c>
      <c r="O585" s="185">
        <f t="shared" si="29"/>
        <v>10070.622492</v>
      </c>
      <c r="P585" s="215">
        <f t="shared" si="28"/>
        <v>3123.361285549659</v>
      </c>
      <c r="Q585" s="215" cm="1">
        <f t="array" ref="Q585">IF(P585="-",0,P585/(1+'General inputs'!$H$32)^IFERROR(INDEX('MP Calculations'!$C$40:$C$130,MATCH(F585,'MP Calculations'!$D$40:$D$130,0),0),-1))</f>
        <v>4713.0214083544424</v>
      </c>
    </row>
    <row r="586" spans="3:17" x14ac:dyDescent="0.25">
      <c r="C586" s="159"/>
      <c r="D586" s="165" t="s">
        <v>285</v>
      </c>
      <c r="E586" s="161">
        <v>41130</v>
      </c>
      <c r="F586" s="172" t="str">
        <f t="shared" si="27"/>
        <v>2012-13</v>
      </c>
      <c r="G586" s="68"/>
      <c r="H586" s="167" t="s">
        <v>279</v>
      </c>
      <c r="I586" s="173">
        <v>89592.114709699614</v>
      </c>
      <c r="J586" s="168">
        <f>IFERROR(MIN('MP Calculations'!$E$30/I586,1),"-")</f>
        <v>0.31014580161562261</v>
      </c>
      <c r="K586" s="12"/>
      <c r="L586" s="159">
        <v>5.8877090000000001</v>
      </c>
      <c r="M586" s="159" t="s">
        <v>408</v>
      </c>
      <c r="N586" s="159">
        <v>1708</v>
      </c>
      <c r="O586" s="185">
        <f t="shared" si="29"/>
        <v>10056.206972</v>
      </c>
      <c r="P586" s="215">
        <f t="shared" si="28"/>
        <v>3118.890372543553</v>
      </c>
      <c r="Q586" s="215" cm="1">
        <f t="array" ref="Q586">IF(P586="-",0,P586/(1+'General inputs'!$H$32)^IFERROR(INDEX('MP Calculations'!$C$40:$C$130,MATCH(F586,'MP Calculations'!$D$40:$D$130,0),0),-1))</f>
        <v>4706.2749878202076</v>
      </c>
    </row>
    <row r="587" spans="3:17" x14ac:dyDescent="0.25">
      <c r="C587" s="159"/>
      <c r="D587" s="165" t="s">
        <v>295</v>
      </c>
      <c r="E587" s="161">
        <v>41130</v>
      </c>
      <c r="F587" s="172" t="str">
        <f t="shared" si="27"/>
        <v>2012-13</v>
      </c>
      <c r="G587" s="68"/>
      <c r="H587" s="167" t="s">
        <v>279</v>
      </c>
      <c r="I587" s="173">
        <v>89592.114709699614</v>
      </c>
      <c r="J587" s="168">
        <f>IFERROR(MIN('MP Calculations'!$E$30/I587,1),"-")</f>
        <v>0.31014580161562261</v>
      </c>
      <c r="K587" s="12"/>
      <c r="L587" s="159">
        <v>6.3040409999999998</v>
      </c>
      <c r="M587" s="159" t="s">
        <v>408</v>
      </c>
      <c r="N587" s="159">
        <v>236</v>
      </c>
      <c r="O587" s="185">
        <f t="shared" si="29"/>
        <v>1487.753676</v>
      </c>
      <c r="P587" s="215">
        <f t="shared" si="28"/>
        <v>461.42055644960931</v>
      </c>
      <c r="Q587" s="215" cm="1">
        <f t="array" ref="Q587">IF(P587="-",0,P587/(1+'General inputs'!$H$32)^IFERROR(INDEX('MP Calculations'!$C$40:$C$130,MATCH(F587,'MP Calculations'!$D$40:$D$130,0),0),-1))</f>
        <v>696.26430053515901</v>
      </c>
    </row>
    <row r="588" spans="3:17" x14ac:dyDescent="0.25">
      <c r="C588" s="159"/>
      <c r="D588" s="165" t="s">
        <v>295</v>
      </c>
      <c r="E588" s="161">
        <v>41130</v>
      </c>
      <c r="F588" s="172" t="str">
        <f t="shared" si="27"/>
        <v>2012-13</v>
      </c>
      <c r="G588" s="68"/>
      <c r="H588" s="167" t="s">
        <v>279</v>
      </c>
      <c r="I588" s="173">
        <v>89592.114709699614</v>
      </c>
      <c r="J588" s="168">
        <f>IFERROR(MIN('MP Calculations'!$E$30/I588,1),"-")</f>
        <v>0.31014580161562261</v>
      </c>
      <c r="K588" s="12"/>
      <c r="L588" s="159">
        <v>0.477321</v>
      </c>
      <c r="M588" s="159" t="s">
        <v>408</v>
      </c>
      <c r="N588" s="159">
        <v>236</v>
      </c>
      <c r="O588" s="185">
        <f t="shared" si="29"/>
        <v>112.647756</v>
      </c>
      <c r="P588" s="215">
        <f t="shared" si="28"/>
        <v>34.937228584821064</v>
      </c>
      <c r="Q588" s="215" cm="1">
        <f t="array" ref="Q588">IF(P588="-",0,P588/(1+'General inputs'!$H$32)^IFERROR(INDEX('MP Calculations'!$C$40:$C$130,MATCH(F588,'MP Calculations'!$D$40:$D$130,0),0),-1))</f>
        <v>52.718815152969754</v>
      </c>
    </row>
    <row r="589" spans="3:17" x14ac:dyDescent="0.25">
      <c r="C589" s="159"/>
      <c r="D589" s="165" t="s">
        <v>727</v>
      </c>
      <c r="E589" s="161">
        <v>41130</v>
      </c>
      <c r="F589" s="172" t="str">
        <f t="shared" si="27"/>
        <v>2012-13</v>
      </c>
      <c r="G589" s="68"/>
      <c r="H589" s="167" t="s">
        <v>279</v>
      </c>
      <c r="I589" s="173">
        <v>89592.114709699614</v>
      </c>
      <c r="J589" s="168">
        <f>IFERROR(MIN('MP Calculations'!$E$30/I589,1),"-")</f>
        <v>0.31014580161562261</v>
      </c>
      <c r="K589" s="12"/>
      <c r="L589" s="159">
        <v>1</v>
      </c>
      <c r="M589" s="159" t="s">
        <v>409</v>
      </c>
      <c r="N589" s="159">
        <v>1225541.17</v>
      </c>
      <c r="O589" s="185">
        <f t="shared" si="29"/>
        <v>1225541.17</v>
      </c>
      <c r="P589" s="215">
        <f t="shared" si="28"/>
        <v>380096.44858259801</v>
      </c>
      <c r="Q589" s="215" cm="1">
        <f t="array" ref="Q589">IF(P589="-",0,P589/(1+'General inputs'!$H$32)^IFERROR(INDEX('MP Calculations'!$C$40:$C$130,MATCH(F589,'MP Calculations'!$D$40:$D$130,0),0),-1))</f>
        <v>573549.62671057798</v>
      </c>
    </row>
    <row r="590" spans="3:17" x14ac:dyDescent="0.25">
      <c r="C590" s="159"/>
      <c r="D590" s="165" t="s">
        <v>728</v>
      </c>
      <c r="E590" s="161">
        <v>41130</v>
      </c>
      <c r="F590" s="172" t="str">
        <f t="shared" si="27"/>
        <v>2012-13</v>
      </c>
      <c r="G590" s="68"/>
      <c r="H590" s="167" t="s">
        <v>279</v>
      </c>
      <c r="I590" s="173">
        <v>89592.114709699614</v>
      </c>
      <c r="J590" s="168">
        <f>IFERROR(MIN('MP Calculations'!$E$30/I590,1),"-")</f>
        <v>0.31014580161562261</v>
      </c>
      <c r="K590" s="12"/>
      <c r="L590" s="159">
        <v>1</v>
      </c>
      <c r="M590" s="159" t="s">
        <v>409</v>
      </c>
      <c r="N590" s="159">
        <v>54694.14</v>
      </c>
      <c r="O590" s="185">
        <f t="shared" si="29"/>
        <v>54694.14</v>
      </c>
      <c r="P590" s="215">
        <f t="shared" si="28"/>
        <v>16963.157893977088</v>
      </c>
      <c r="Q590" s="215" cm="1">
        <f t="array" ref="Q590">IF(P590="-",0,P590/(1+'General inputs'!$H$32)^IFERROR(INDEX('MP Calculations'!$C$40:$C$130,MATCH(F590,'MP Calculations'!$D$40:$D$130,0),0),-1))</f>
        <v>25596.695034126104</v>
      </c>
    </row>
    <row r="591" spans="3:17" x14ac:dyDescent="0.25">
      <c r="C591" s="159"/>
      <c r="D591" s="165" t="s">
        <v>729</v>
      </c>
      <c r="E591" s="161">
        <v>41130</v>
      </c>
      <c r="F591" s="172" t="str">
        <f t="shared" si="27"/>
        <v>2012-13</v>
      </c>
      <c r="G591" s="68"/>
      <c r="H591" s="167" t="s">
        <v>279</v>
      </c>
      <c r="I591" s="173">
        <v>89592.114709699614</v>
      </c>
      <c r="J591" s="168">
        <f>IFERROR(MIN('MP Calculations'!$E$30/I591,1),"-")</f>
        <v>0.31014580161562261</v>
      </c>
      <c r="K591" s="12"/>
      <c r="L591" s="159">
        <v>1</v>
      </c>
      <c r="M591" s="159" t="s">
        <v>409</v>
      </c>
      <c r="N591" s="159">
        <v>61709.57</v>
      </c>
      <c r="O591" s="185">
        <f t="shared" si="29"/>
        <v>61709.57</v>
      </c>
      <c r="P591" s="215">
        <f t="shared" si="28"/>
        <v>19138.964055005377</v>
      </c>
      <c r="Q591" s="215" cm="1">
        <f t="array" ref="Q591">IF(P591="-",0,P591/(1+'General inputs'!$H$32)^IFERROR(INDEX('MP Calculations'!$C$40:$C$130,MATCH(F591,'MP Calculations'!$D$40:$D$130,0),0),-1))</f>
        <v>28879.895432619607</v>
      </c>
    </row>
    <row r="592" spans="3:17" x14ac:dyDescent="0.25">
      <c r="C592" s="159"/>
      <c r="D592" s="165" t="s">
        <v>730</v>
      </c>
      <c r="E592" s="161">
        <v>41130</v>
      </c>
      <c r="F592" s="172" t="str">
        <f t="shared" si="27"/>
        <v>2012-13</v>
      </c>
      <c r="G592" s="68"/>
      <c r="H592" s="167" t="s">
        <v>279</v>
      </c>
      <c r="I592" s="173">
        <v>89592.114709699614</v>
      </c>
      <c r="J592" s="168">
        <f>IFERROR(MIN('MP Calculations'!$E$30/I592,1),"-")</f>
        <v>0.31014580161562261</v>
      </c>
      <c r="K592" s="12"/>
      <c r="L592" s="159">
        <v>1</v>
      </c>
      <c r="M592" s="159" t="s">
        <v>409</v>
      </c>
      <c r="N592" s="159">
        <v>56842.3</v>
      </c>
      <c r="O592" s="185">
        <f t="shared" si="29"/>
        <v>56842.3</v>
      </c>
      <c r="P592" s="215">
        <f t="shared" si="28"/>
        <v>17629.400699175705</v>
      </c>
      <c r="Q592" s="215" cm="1">
        <f t="array" ref="Q592">IF(P592="-",0,P592/(1+'General inputs'!$H$32)^IFERROR(INDEX('MP Calculations'!$C$40:$C$130,MATCH(F592,'MP Calculations'!$D$40:$D$130,0),0),-1))</f>
        <v>26602.027532351844</v>
      </c>
    </row>
    <row r="593" spans="3:17" x14ac:dyDescent="0.25">
      <c r="C593" s="159"/>
      <c r="D593" s="165" t="s">
        <v>731</v>
      </c>
      <c r="E593" s="161">
        <v>41130</v>
      </c>
      <c r="F593" s="172" t="str">
        <f t="shared" si="27"/>
        <v>2012-13</v>
      </c>
      <c r="G593" s="68"/>
      <c r="H593" s="167" t="s">
        <v>279</v>
      </c>
      <c r="I593" s="173">
        <v>89592.114709699614</v>
      </c>
      <c r="J593" s="168">
        <f>IFERROR(MIN('MP Calculations'!$E$30/I593,1),"-")</f>
        <v>0.31014580161562261</v>
      </c>
      <c r="K593" s="12"/>
      <c r="L593" s="159">
        <v>1</v>
      </c>
      <c r="M593" s="159" t="s">
        <v>409</v>
      </c>
      <c r="N593" s="159">
        <v>57819.15</v>
      </c>
      <c r="O593" s="185">
        <f t="shared" si="29"/>
        <v>57819.15</v>
      </c>
      <c r="P593" s="215">
        <f t="shared" si="28"/>
        <v>17932.366625483926</v>
      </c>
      <c r="Q593" s="215" cm="1">
        <f t="array" ref="Q593">IF(P593="-",0,P593/(1+'General inputs'!$H$32)^IFERROR(INDEX('MP Calculations'!$C$40:$C$130,MATCH(F593,'MP Calculations'!$D$40:$D$130,0),0),-1))</f>
        <v>27059.190430316528</v>
      </c>
    </row>
    <row r="594" spans="3:17" x14ac:dyDescent="0.25">
      <c r="C594" s="159"/>
      <c r="D594" s="165" t="s">
        <v>732</v>
      </c>
      <c r="E594" s="161">
        <v>41130</v>
      </c>
      <c r="F594" s="172" t="str">
        <f t="shared" si="27"/>
        <v>2012-13</v>
      </c>
      <c r="G594" s="68"/>
      <c r="H594" s="167" t="s">
        <v>279</v>
      </c>
      <c r="I594" s="173">
        <v>89592.114709699614</v>
      </c>
      <c r="J594" s="168">
        <f>IFERROR(MIN('MP Calculations'!$E$30/I594,1),"-")</f>
        <v>0.31014580161562261</v>
      </c>
      <c r="K594" s="12"/>
      <c r="L594" s="159">
        <v>1</v>
      </c>
      <c r="M594" s="159" t="s">
        <v>409</v>
      </c>
      <c r="N594" s="159">
        <v>57819.15</v>
      </c>
      <c r="O594" s="185">
        <f t="shared" si="29"/>
        <v>57819.15</v>
      </c>
      <c r="P594" s="215">
        <f t="shared" si="28"/>
        <v>17932.366625483926</v>
      </c>
      <c r="Q594" s="215" cm="1">
        <f t="array" ref="Q594">IF(P594="-",0,P594/(1+'General inputs'!$H$32)^IFERROR(INDEX('MP Calculations'!$C$40:$C$130,MATCH(F594,'MP Calculations'!$D$40:$D$130,0),0),-1))</f>
        <v>27059.190430316528</v>
      </c>
    </row>
    <row r="595" spans="3:17" x14ac:dyDescent="0.25">
      <c r="C595" s="159"/>
      <c r="D595" s="165" t="s">
        <v>733</v>
      </c>
      <c r="E595" s="161">
        <v>41130</v>
      </c>
      <c r="F595" s="172" t="str">
        <f t="shared" si="27"/>
        <v>2012-13</v>
      </c>
      <c r="G595" s="68"/>
      <c r="H595" s="167" t="s">
        <v>279</v>
      </c>
      <c r="I595" s="173">
        <v>89592.114709699614</v>
      </c>
      <c r="J595" s="168">
        <f>IFERROR(MIN('MP Calculations'!$E$30/I595,1),"-")</f>
        <v>0.31014580161562261</v>
      </c>
      <c r="K595" s="12"/>
      <c r="L595" s="159">
        <v>1</v>
      </c>
      <c r="M595" s="159" t="s">
        <v>409</v>
      </c>
      <c r="N595" s="159">
        <v>9130.8700000000008</v>
      </c>
      <c r="O595" s="185">
        <f t="shared" si="29"/>
        <v>9130.8700000000008</v>
      </c>
      <c r="P595" s="215">
        <f t="shared" si="28"/>
        <v>2831.90099559804</v>
      </c>
      <c r="Q595" s="215" cm="1">
        <f t="array" ref="Q595">IF(P595="-",0,P595/(1+'General inputs'!$H$32)^IFERROR(INDEX('MP Calculations'!$C$40:$C$130,MATCH(F595,'MP Calculations'!$D$40:$D$130,0),0),-1))</f>
        <v>4273.2200339241281</v>
      </c>
    </row>
    <row r="596" spans="3:17" x14ac:dyDescent="0.25">
      <c r="C596" s="159"/>
      <c r="D596" s="165" t="s">
        <v>734</v>
      </c>
      <c r="E596" s="161">
        <v>41130</v>
      </c>
      <c r="F596" s="172" t="str">
        <f t="shared" si="27"/>
        <v>2012-13</v>
      </c>
      <c r="G596" s="68"/>
      <c r="H596" s="167" t="s">
        <v>279</v>
      </c>
      <c r="I596" s="173">
        <v>89592.114709699614</v>
      </c>
      <c r="J596" s="168">
        <f>IFERROR(MIN('MP Calculations'!$E$30/I596,1),"-")</f>
        <v>0.31014580161562261</v>
      </c>
      <c r="K596" s="12"/>
      <c r="L596" s="159">
        <v>1</v>
      </c>
      <c r="M596" s="159" t="s">
        <v>409</v>
      </c>
      <c r="N596" s="159">
        <v>20970.84</v>
      </c>
      <c r="O596" s="185">
        <f t="shared" si="29"/>
        <v>20970.84</v>
      </c>
      <c r="P596" s="215">
        <f t="shared" si="28"/>
        <v>6504.0179823529634</v>
      </c>
      <c r="Q596" s="215" cm="1">
        <f t="array" ref="Q596">IF(P596="-",0,P596/(1+'General inputs'!$H$32)^IFERROR(INDEX('MP Calculations'!$C$40:$C$130,MATCH(F596,'MP Calculations'!$D$40:$D$130,0),0),-1))</f>
        <v>9814.2908196280823</v>
      </c>
    </row>
    <row r="597" spans="3:17" x14ac:dyDescent="0.25">
      <c r="C597" s="159"/>
      <c r="D597" s="165" t="s">
        <v>735</v>
      </c>
      <c r="E597" s="161">
        <v>41130</v>
      </c>
      <c r="F597" s="172" t="str">
        <f t="shared" si="27"/>
        <v>2012-13</v>
      </c>
      <c r="G597" s="68"/>
      <c r="H597" s="167" t="s">
        <v>279</v>
      </c>
      <c r="I597" s="173">
        <v>89592.114709699614</v>
      </c>
      <c r="J597" s="168">
        <f>IFERROR(MIN('MP Calculations'!$E$30/I597,1),"-")</f>
        <v>0.31014580161562261</v>
      </c>
      <c r="K597" s="12"/>
      <c r="L597" s="159">
        <v>1</v>
      </c>
      <c r="M597" s="159" t="s">
        <v>409</v>
      </c>
      <c r="N597" s="159">
        <v>24651.56</v>
      </c>
      <c r="O597" s="185">
        <f t="shared" si="29"/>
        <v>24651.56</v>
      </c>
      <c r="P597" s="215">
        <f t="shared" si="28"/>
        <v>7645.5778372756176</v>
      </c>
      <c r="Q597" s="215" cm="1">
        <f t="array" ref="Q597">IF(P597="-",0,P597/(1+'General inputs'!$H$32)^IFERROR(INDEX('MP Calculations'!$C$40:$C$130,MATCH(F597,'MP Calculations'!$D$40:$D$130,0),0),-1))</f>
        <v>11536.856844909924</v>
      </c>
    </row>
    <row r="598" spans="3:17" x14ac:dyDescent="0.25">
      <c r="C598" s="159"/>
      <c r="D598" s="165" t="s">
        <v>736</v>
      </c>
      <c r="E598" s="161">
        <v>41151</v>
      </c>
      <c r="F598" s="172" t="str">
        <f t="shared" ref="F598:F661" si="30">IF(E598="","-",IF(OR(E598&lt;$E$15,E598&gt;$E$16),"ERROR - date outside of range",IF(MONTH(E598)&gt;=7,YEAR(E598)&amp;"-"&amp;IF(YEAR(E598)=1999,"00",IF(AND(YEAR(E598)&gt;=2000,YEAR(E598)&lt;2009),"0","")&amp;RIGHT(YEAR(E598),2)+1),RIGHT(YEAR(E598),4)-1&amp;"-"&amp;RIGHT(YEAR(E598),2))))</f>
        <v>2012-13</v>
      </c>
      <c r="G598" s="68"/>
      <c r="H598" s="167" t="s">
        <v>279</v>
      </c>
      <c r="I598" s="173">
        <v>89592.114709699614</v>
      </c>
      <c r="J598" s="168">
        <f>IFERROR(MIN('MP Calculations'!$E$30/I598,1),"-")</f>
        <v>0.31014580161562261</v>
      </c>
      <c r="K598" s="12"/>
      <c r="L598" s="159">
        <v>1</v>
      </c>
      <c r="M598" s="159" t="s">
        <v>409</v>
      </c>
      <c r="N598" s="159">
        <v>3703746.91</v>
      </c>
      <c r="O598" s="185">
        <f t="shared" ref="O598:O661" si="31">IF(N598="","-",L598*N598)</f>
        <v>3703746.91</v>
      </c>
      <c r="P598" s="215">
        <f t="shared" ref="P598:P661" si="32">IF(O598="-","-",IF(OR(E598&lt;$E$15,E598&gt;$E$16),0,O598*J598))</f>
        <v>1148701.5543833352</v>
      </c>
      <c r="Q598" s="215" cm="1">
        <f t="array" ref="Q598">IF(P598="-",0,P598/(1+'General inputs'!$H$32)^IFERROR(INDEX('MP Calculations'!$C$40:$C$130,MATCH(F598,'MP Calculations'!$D$40:$D$130,0),0),-1))</f>
        <v>1733342.5507532782</v>
      </c>
    </row>
    <row r="599" spans="3:17" x14ac:dyDescent="0.25">
      <c r="C599" s="159"/>
      <c r="D599" s="165" t="s">
        <v>736</v>
      </c>
      <c r="E599" s="161">
        <v>41151</v>
      </c>
      <c r="F599" s="172" t="str">
        <f t="shared" si="30"/>
        <v>2012-13</v>
      </c>
      <c r="G599" s="68"/>
      <c r="H599" s="167" t="s">
        <v>279</v>
      </c>
      <c r="I599" s="173">
        <v>89592.114709699614</v>
      </c>
      <c r="J599" s="168">
        <f>IFERROR(MIN('MP Calculations'!$E$30/I599,1),"-")</f>
        <v>0.31014580161562261</v>
      </c>
      <c r="K599" s="12"/>
      <c r="L599" s="159">
        <v>1</v>
      </c>
      <c r="M599" s="159" t="s">
        <v>409</v>
      </c>
      <c r="N599" s="159">
        <v>0</v>
      </c>
      <c r="O599" s="185">
        <f t="shared" si="31"/>
        <v>0</v>
      </c>
      <c r="P599" s="215">
        <f t="shared" si="32"/>
        <v>0</v>
      </c>
      <c r="Q599" s="215" cm="1">
        <f t="array" ref="Q599">IF(P599="-",0,P599/(1+'General inputs'!$H$32)^IFERROR(INDEX('MP Calculations'!$C$40:$C$130,MATCH(F599,'MP Calculations'!$D$40:$D$130,0),0),-1))</f>
        <v>0</v>
      </c>
    </row>
    <row r="600" spans="3:17" x14ac:dyDescent="0.25">
      <c r="C600" s="159"/>
      <c r="D600" s="165" t="s">
        <v>737</v>
      </c>
      <c r="E600" s="161">
        <v>41151</v>
      </c>
      <c r="F600" s="172" t="str">
        <f t="shared" si="30"/>
        <v>2012-13</v>
      </c>
      <c r="G600" s="68"/>
      <c r="H600" s="167" t="s">
        <v>279</v>
      </c>
      <c r="I600" s="173">
        <v>89592.114709699614</v>
      </c>
      <c r="J600" s="168">
        <f>IFERROR(MIN('MP Calculations'!$E$30/I600,1),"-")</f>
        <v>0.31014580161562261</v>
      </c>
      <c r="K600" s="12"/>
      <c r="L600" s="159">
        <v>1</v>
      </c>
      <c r="M600" s="159" t="s">
        <v>409</v>
      </c>
      <c r="N600" s="159">
        <v>0</v>
      </c>
      <c r="O600" s="185">
        <f t="shared" si="31"/>
        <v>0</v>
      </c>
      <c r="P600" s="215">
        <f t="shared" si="32"/>
        <v>0</v>
      </c>
      <c r="Q600" s="215" cm="1">
        <f t="array" ref="Q600">IF(P600="-",0,P600/(1+'General inputs'!$H$32)^IFERROR(INDEX('MP Calculations'!$C$40:$C$130,MATCH(F600,'MP Calculations'!$D$40:$D$130,0),0),-1))</f>
        <v>0</v>
      </c>
    </row>
    <row r="601" spans="3:17" x14ac:dyDescent="0.25">
      <c r="C601" s="159"/>
      <c r="D601" s="165" t="s">
        <v>737</v>
      </c>
      <c r="E601" s="161">
        <v>41151</v>
      </c>
      <c r="F601" s="172" t="str">
        <f t="shared" si="30"/>
        <v>2012-13</v>
      </c>
      <c r="G601" s="68"/>
      <c r="H601" s="167" t="s">
        <v>279</v>
      </c>
      <c r="I601" s="173">
        <v>89592.114709699614</v>
      </c>
      <c r="J601" s="168">
        <f>IFERROR(MIN('MP Calculations'!$E$30/I601,1),"-")</f>
        <v>0.31014580161562261</v>
      </c>
      <c r="K601" s="12"/>
      <c r="L601" s="159">
        <v>1</v>
      </c>
      <c r="M601" s="159" t="s">
        <v>409</v>
      </c>
      <c r="N601" s="159">
        <v>1624198.9</v>
      </c>
      <c r="O601" s="185">
        <f t="shared" si="31"/>
        <v>1624198.9</v>
      </c>
      <c r="P601" s="215">
        <f t="shared" si="32"/>
        <v>503738.46982371242</v>
      </c>
      <c r="Q601" s="215" cm="1">
        <f t="array" ref="Q601">IF(P601="-",0,P601/(1+'General inputs'!$H$32)^IFERROR(INDEX('MP Calculations'!$C$40:$C$130,MATCH(F601,'MP Calculations'!$D$40:$D$130,0),0),-1))</f>
        <v>760120.26001438324</v>
      </c>
    </row>
    <row r="602" spans="3:17" ht="23" x14ac:dyDescent="0.25">
      <c r="C602" s="159"/>
      <c r="D602" s="165" t="s">
        <v>738</v>
      </c>
      <c r="E602" s="161">
        <v>41193</v>
      </c>
      <c r="F602" s="172" t="str">
        <f t="shared" si="30"/>
        <v>2012-13</v>
      </c>
      <c r="G602" s="68"/>
      <c r="H602" s="167" t="s">
        <v>279</v>
      </c>
      <c r="I602" s="173">
        <v>89592.114709699614</v>
      </c>
      <c r="J602" s="168">
        <f>IFERROR(MIN('MP Calculations'!$E$30/I602,1),"-")</f>
        <v>0.31014580161562261</v>
      </c>
      <c r="K602" s="12"/>
      <c r="L602" s="159">
        <v>8.4577880000000007</v>
      </c>
      <c r="M602" s="159" t="s">
        <v>408</v>
      </c>
      <c r="N602" s="159">
        <v>3983</v>
      </c>
      <c r="O602" s="185">
        <f t="shared" si="31"/>
        <v>33687.369604</v>
      </c>
      <c r="P602" s="215">
        <f t="shared" si="32"/>
        <v>10447.99625015434</v>
      </c>
      <c r="Q602" s="215" cm="1">
        <f t="array" ref="Q602">IF(P602="-",0,P602/(1+'General inputs'!$H$32)^IFERROR(INDEX('MP Calculations'!$C$40:$C$130,MATCH(F602,'MP Calculations'!$D$40:$D$130,0),0),-1))</f>
        <v>15765.588895912386</v>
      </c>
    </row>
    <row r="603" spans="3:17" x14ac:dyDescent="0.25">
      <c r="C603" s="159"/>
      <c r="D603" s="165" t="s">
        <v>726</v>
      </c>
      <c r="E603" s="161">
        <v>41193</v>
      </c>
      <c r="F603" s="172" t="str">
        <f t="shared" si="30"/>
        <v>2012-13</v>
      </c>
      <c r="G603" s="68"/>
      <c r="H603" s="167" t="s">
        <v>279</v>
      </c>
      <c r="I603" s="173">
        <v>89592.114709699614</v>
      </c>
      <c r="J603" s="168">
        <f>IFERROR(MIN('MP Calculations'!$E$30/I603,1),"-")</f>
        <v>0.31014580161562261</v>
      </c>
      <c r="K603" s="12"/>
      <c r="L603" s="159">
        <v>9.6974859999999996</v>
      </c>
      <c r="M603" s="159" t="s">
        <v>408</v>
      </c>
      <c r="N603" s="159">
        <v>3122</v>
      </c>
      <c r="O603" s="185">
        <f t="shared" si="31"/>
        <v>30275.551292</v>
      </c>
      <c r="P603" s="215">
        <f t="shared" si="32"/>
        <v>9389.8351248122381</v>
      </c>
      <c r="Q603" s="215" cm="1">
        <f t="array" ref="Q603">IF(P603="-",0,P603/(1+'General inputs'!$H$32)^IFERROR(INDEX('MP Calculations'!$C$40:$C$130,MATCH(F603,'MP Calculations'!$D$40:$D$130,0),0),-1))</f>
        <v>14168.868061758838</v>
      </c>
    </row>
    <row r="604" spans="3:17" x14ac:dyDescent="0.25">
      <c r="C604" s="159"/>
      <c r="D604" s="165" t="s">
        <v>726</v>
      </c>
      <c r="E604" s="161">
        <v>41193</v>
      </c>
      <c r="F604" s="172" t="str">
        <f t="shared" si="30"/>
        <v>2012-13</v>
      </c>
      <c r="G604" s="68"/>
      <c r="H604" s="167" t="s">
        <v>279</v>
      </c>
      <c r="I604" s="173">
        <v>89592.114709699614</v>
      </c>
      <c r="J604" s="168">
        <f>IFERROR(MIN('MP Calculations'!$E$30/I604,1),"-")</f>
        <v>0.31014580161562261</v>
      </c>
      <c r="K604" s="12"/>
      <c r="L604" s="159">
        <v>54.763382999999997</v>
      </c>
      <c r="M604" s="159" t="s">
        <v>408</v>
      </c>
      <c r="N604" s="159">
        <v>3122</v>
      </c>
      <c r="O604" s="185">
        <f t="shared" si="31"/>
        <v>170971.28172599999</v>
      </c>
      <c r="P604" s="215">
        <f t="shared" si="32"/>
        <v>53026.025224160716</v>
      </c>
      <c r="Q604" s="215" cm="1">
        <f t="array" ref="Q604">IF(P604="-",0,P604/(1+'General inputs'!$H$32)^IFERROR(INDEX('MP Calculations'!$C$40:$C$130,MATCH(F604,'MP Calculations'!$D$40:$D$130,0),0),-1))</f>
        <v>80014.051924650048</v>
      </c>
    </row>
    <row r="605" spans="3:17" x14ac:dyDescent="0.25">
      <c r="C605" s="159"/>
      <c r="D605" s="165" t="s">
        <v>726</v>
      </c>
      <c r="E605" s="161">
        <v>41193</v>
      </c>
      <c r="F605" s="172" t="str">
        <f t="shared" si="30"/>
        <v>2012-13</v>
      </c>
      <c r="G605" s="68"/>
      <c r="H605" s="167" t="s">
        <v>279</v>
      </c>
      <c r="I605" s="173">
        <v>89592.114709699614</v>
      </c>
      <c r="J605" s="168">
        <f>IFERROR(MIN('MP Calculations'!$E$30/I605,1),"-")</f>
        <v>0.31014580161562261</v>
      </c>
      <c r="K605" s="12"/>
      <c r="L605" s="159">
        <v>50.583872</v>
      </c>
      <c r="M605" s="159" t="s">
        <v>408</v>
      </c>
      <c r="N605" s="159">
        <v>3122</v>
      </c>
      <c r="O605" s="185">
        <f t="shared" si="31"/>
        <v>157922.84838400001</v>
      </c>
      <c r="P605" s="215">
        <f t="shared" si="32"/>
        <v>48979.108405478117</v>
      </c>
      <c r="Q605" s="215" cm="1">
        <f t="array" ref="Q605">IF(P605="-",0,P605/(1+'General inputs'!$H$32)^IFERROR(INDEX('MP Calculations'!$C$40:$C$130,MATCH(F605,'MP Calculations'!$D$40:$D$130,0),0),-1))</f>
        <v>73907.423885004551</v>
      </c>
    </row>
    <row r="606" spans="3:17" x14ac:dyDescent="0.25">
      <c r="C606" s="159"/>
      <c r="D606" s="165" t="s">
        <v>726</v>
      </c>
      <c r="E606" s="161">
        <v>41193</v>
      </c>
      <c r="F606" s="172" t="str">
        <f t="shared" si="30"/>
        <v>2012-13</v>
      </c>
      <c r="G606" s="68"/>
      <c r="H606" s="167" t="s">
        <v>279</v>
      </c>
      <c r="I606" s="173">
        <v>89592.114709699614</v>
      </c>
      <c r="J606" s="168">
        <f>IFERROR(MIN('MP Calculations'!$E$30/I606,1),"-")</f>
        <v>0.31014580161562261</v>
      </c>
      <c r="K606" s="12"/>
      <c r="L606" s="159">
        <v>13.955484</v>
      </c>
      <c r="M606" s="159" t="s">
        <v>408</v>
      </c>
      <c r="N606" s="159">
        <v>3122</v>
      </c>
      <c r="O606" s="185">
        <f t="shared" si="31"/>
        <v>43569.021048000002</v>
      </c>
      <c r="P606" s="215">
        <f t="shared" si="32"/>
        <v>13512.748958539894</v>
      </c>
      <c r="Q606" s="215" cm="1">
        <f t="array" ref="Q606">IF(P606="-",0,P606/(1+'General inputs'!$H$32)^IFERROR(INDEX('MP Calculations'!$C$40:$C$130,MATCH(F606,'MP Calculations'!$D$40:$D$130,0),0),-1))</f>
        <v>20390.172415199824</v>
      </c>
    </row>
    <row r="607" spans="3:17" x14ac:dyDescent="0.25">
      <c r="C607" s="159"/>
      <c r="D607" s="165" t="s">
        <v>726</v>
      </c>
      <c r="E607" s="161">
        <v>41193</v>
      </c>
      <c r="F607" s="172" t="str">
        <f t="shared" si="30"/>
        <v>2012-13</v>
      </c>
      <c r="G607" s="68"/>
      <c r="H607" s="167" t="s">
        <v>279</v>
      </c>
      <c r="I607" s="173">
        <v>89592.114709699614</v>
      </c>
      <c r="J607" s="168">
        <f>IFERROR(MIN('MP Calculations'!$E$30/I607,1),"-")</f>
        <v>0.31014580161562261</v>
      </c>
      <c r="K607" s="12"/>
      <c r="L607" s="159">
        <v>29.070719</v>
      </c>
      <c r="M607" s="159" t="s">
        <v>408</v>
      </c>
      <c r="N607" s="159">
        <v>3122</v>
      </c>
      <c r="O607" s="185">
        <f t="shared" si="31"/>
        <v>90758.784717999995</v>
      </c>
      <c r="P607" s="215">
        <f t="shared" si="32"/>
        <v>28148.456040023826</v>
      </c>
      <c r="Q607" s="215" cm="1">
        <f t="array" ref="Q607">IF(P607="-",0,P607/(1+'General inputs'!$H$32)^IFERROR(INDEX('MP Calculations'!$C$40:$C$130,MATCH(F607,'MP Calculations'!$D$40:$D$130,0),0),-1))</f>
        <v>42474.841620958854</v>
      </c>
    </row>
    <row r="608" spans="3:17" x14ac:dyDescent="0.25">
      <c r="C608" s="159"/>
      <c r="D608" s="165" t="s">
        <v>726</v>
      </c>
      <c r="E608" s="161">
        <v>41193</v>
      </c>
      <c r="F608" s="172" t="str">
        <f t="shared" si="30"/>
        <v>2012-13</v>
      </c>
      <c r="G608" s="68"/>
      <c r="H608" s="167" t="s">
        <v>279</v>
      </c>
      <c r="I608" s="173">
        <v>89592.114709699614</v>
      </c>
      <c r="J608" s="168">
        <f>IFERROR(MIN('MP Calculations'!$E$30/I608,1),"-")</f>
        <v>0.31014580161562261</v>
      </c>
      <c r="K608" s="12"/>
      <c r="L608" s="159">
        <v>52.560254</v>
      </c>
      <c r="M608" s="159" t="s">
        <v>408</v>
      </c>
      <c r="N608" s="159">
        <v>3122</v>
      </c>
      <c r="O608" s="185">
        <f t="shared" si="31"/>
        <v>164093.11298800001</v>
      </c>
      <c r="P608" s="215">
        <f t="shared" si="32"/>
        <v>50892.790067266193</v>
      </c>
      <c r="Q608" s="215" cm="1">
        <f t="array" ref="Q608">IF(P608="-",0,P608/(1+'General inputs'!$H$32)^IFERROR(INDEX('MP Calculations'!$C$40:$C$130,MATCH(F608,'MP Calculations'!$D$40:$D$130,0),0),-1))</f>
        <v>76795.089388995475</v>
      </c>
    </row>
    <row r="609" spans="3:17" x14ac:dyDescent="0.25">
      <c r="C609" s="159"/>
      <c r="D609" s="165" t="s">
        <v>726</v>
      </c>
      <c r="E609" s="161">
        <v>41193</v>
      </c>
      <c r="F609" s="172" t="str">
        <f t="shared" si="30"/>
        <v>2012-13</v>
      </c>
      <c r="G609" s="68"/>
      <c r="H609" s="167" t="s">
        <v>279</v>
      </c>
      <c r="I609" s="173">
        <v>89592.114709699614</v>
      </c>
      <c r="J609" s="168">
        <f>IFERROR(MIN('MP Calculations'!$E$30/I609,1),"-")</f>
        <v>0.31014580161562261</v>
      </c>
      <c r="K609" s="12"/>
      <c r="L609" s="159">
        <v>57.592523999999997</v>
      </c>
      <c r="M609" s="159" t="s">
        <v>408</v>
      </c>
      <c r="N609" s="159">
        <v>3122</v>
      </c>
      <c r="O609" s="185">
        <f t="shared" si="31"/>
        <v>179803.85992799999</v>
      </c>
      <c r="P609" s="215">
        <f t="shared" si="32"/>
        <v>55765.412270952678</v>
      </c>
      <c r="Q609" s="215" cm="1">
        <f t="array" ref="Q609">IF(P609="-",0,P609/(1+'General inputs'!$H$32)^IFERROR(INDEX('MP Calculations'!$C$40:$C$130,MATCH(F609,'MP Calculations'!$D$40:$D$130,0),0),-1))</f>
        <v>84147.672283278298</v>
      </c>
    </row>
    <row r="610" spans="3:17" x14ac:dyDescent="0.25">
      <c r="C610" s="159"/>
      <c r="D610" s="165" t="s">
        <v>726</v>
      </c>
      <c r="E610" s="161">
        <v>41193</v>
      </c>
      <c r="F610" s="172" t="str">
        <f t="shared" si="30"/>
        <v>2012-13</v>
      </c>
      <c r="G610" s="68"/>
      <c r="H610" s="167" t="s">
        <v>279</v>
      </c>
      <c r="I610" s="173">
        <v>89592.114709699614</v>
      </c>
      <c r="J610" s="168">
        <f>IFERROR(MIN('MP Calculations'!$E$30/I610,1),"-")</f>
        <v>0.31014580161562261</v>
      </c>
      <c r="K610" s="12"/>
      <c r="L610" s="159">
        <v>22.941351999999998</v>
      </c>
      <c r="M610" s="159" t="s">
        <v>408</v>
      </c>
      <c r="N610" s="159">
        <v>3122</v>
      </c>
      <c r="O610" s="185">
        <f t="shared" si="31"/>
        <v>71622.900943999994</v>
      </c>
      <c r="P610" s="215">
        <f t="shared" si="32"/>
        <v>22213.542027313211</v>
      </c>
      <c r="Q610" s="215" cm="1">
        <f t="array" ref="Q610">IF(P610="-",0,P610/(1+'General inputs'!$H$32)^IFERROR(INDEX('MP Calculations'!$C$40:$C$130,MATCH(F610,'MP Calculations'!$D$40:$D$130,0),0),-1))</f>
        <v>33519.304863793281</v>
      </c>
    </row>
    <row r="611" spans="3:17" x14ac:dyDescent="0.25">
      <c r="C611" s="159"/>
      <c r="D611" s="165" t="s">
        <v>726</v>
      </c>
      <c r="E611" s="161">
        <v>41193</v>
      </c>
      <c r="F611" s="172" t="str">
        <f t="shared" si="30"/>
        <v>2012-13</v>
      </c>
      <c r="G611" s="68"/>
      <c r="H611" s="167" t="s">
        <v>279</v>
      </c>
      <c r="I611" s="173">
        <v>89592.114709699614</v>
      </c>
      <c r="J611" s="168">
        <f>IFERROR(MIN('MP Calculations'!$E$30/I611,1),"-")</f>
        <v>0.31014580161562261</v>
      </c>
      <c r="K611" s="12"/>
      <c r="L611" s="159">
        <v>48.803576999999997</v>
      </c>
      <c r="M611" s="159" t="s">
        <v>408</v>
      </c>
      <c r="N611" s="159">
        <v>3122</v>
      </c>
      <c r="O611" s="185">
        <f t="shared" si="31"/>
        <v>152364.76739399999</v>
      </c>
      <c r="P611" s="215">
        <f t="shared" si="32"/>
        <v>47255.292921390006</v>
      </c>
      <c r="Q611" s="215" cm="1">
        <f t="array" ref="Q611">IF(P611="-",0,P611/(1+'General inputs'!$H$32)^IFERROR(INDEX('MP Calculations'!$C$40:$C$130,MATCH(F611,'MP Calculations'!$D$40:$D$130,0),0),-1))</f>
        <v>71306.258493684669</v>
      </c>
    </row>
    <row r="612" spans="3:17" x14ac:dyDescent="0.25">
      <c r="C612" s="159"/>
      <c r="D612" s="165" t="s">
        <v>532</v>
      </c>
      <c r="E612" s="161">
        <v>41193</v>
      </c>
      <c r="F612" s="172" t="str">
        <f t="shared" si="30"/>
        <v>2012-13</v>
      </c>
      <c r="G612" s="68"/>
      <c r="H612" s="167" t="s">
        <v>279</v>
      </c>
      <c r="I612" s="173">
        <v>89592.114709699614</v>
      </c>
      <c r="J612" s="168">
        <f>IFERROR(MIN('MP Calculations'!$E$30/I612,1),"-")</f>
        <v>0.31014580161562261</v>
      </c>
      <c r="K612" s="12"/>
      <c r="L612" s="159">
        <v>1.9999579999999999</v>
      </c>
      <c r="M612" s="159" t="s">
        <v>408</v>
      </c>
      <c r="N612" s="159">
        <v>2785</v>
      </c>
      <c r="O612" s="185">
        <f t="shared" si="31"/>
        <v>5569.88303</v>
      </c>
      <c r="P612" s="215">
        <f t="shared" si="32"/>
        <v>1727.4758372446029</v>
      </c>
      <c r="Q612" s="215" cm="1">
        <f t="array" ref="Q612">IF(P612="-",0,P612/(1+'General inputs'!$H$32)^IFERROR(INDEX('MP Calculations'!$C$40:$C$130,MATCH(F612,'MP Calculations'!$D$40:$D$130,0),0),-1))</f>
        <v>2606.6887109782556</v>
      </c>
    </row>
    <row r="613" spans="3:17" x14ac:dyDescent="0.25">
      <c r="C613" s="159"/>
      <c r="D613" s="165" t="s">
        <v>532</v>
      </c>
      <c r="E613" s="161">
        <v>41193</v>
      </c>
      <c r="F613" s="172" t="str">
        <f t="shared" si="30"/>
        <v>2012-13</v>
      </c>
      <c r="G613" s="68"/>
      <c r="H613" s="167" t="s">
        <v>279</v>
      </c>
      <c r="I613" s="173">
        <v>89592.114709699614</v>
      </c>
      <c r="J613" s="168">
        <f>IFERROR(MIN('MP Calculations'!$E$30/I613,1),"-")</f>
        <v>0.31014580161562261</v>
      </c>
      <c r="K613" s="12"/>
      <c r="L613" s="159">
        <v>5.9337439999999999</v>
      </c>
      <c r="M613" s="159" t="s">
        <v>408</v>
      </c>
      <c r="N613" s="159">
        <v>2785</v>
      </c>
      <c r="O613" s="185">
        <f t="shared" si="31"/>
        <v>16525.477039999998</v>
      </c>
      <c r="P613" s="215">
        <f t="shared" si="32"/>
        <v>5125.3073236513656</v>
      </c>
      <c r="Q613" s="215" cm="1">
        <f t="array" ref="Q613">IF(P613="-",0,P613/(1+'General inputs'!$H$32)^IFERROR(INDEX('MP Calculations'!$C$40:$C$130,MATCH(F613,'MP Calculations'!$D$40:$D$130,0),0),-1))</f>
        <v>7733.8741606748526</v>
      </c>
    </row>
    <row r="614" spans="3:17" x14ac:dyDescent="0.25">
      <c r="C614" s="159"/>
      <c r="D614" s="165" t="s">
        <v>285</v>
      </c>
      <c r="E614" s="161">
        <v>41261</v>
      </c>
      <c r="F614" s="172" t="str">
        <f t="shared" si="30"/>
        <v>2012-13</v>
      </c>
      <c r="G614" s="68"/>
      <c r="H614" s="167" t="s">
        <v>279</v>
      </c>
      <c r="I614" s="173">
        <v>89592.114709699614</v>
      </c>
      <c r="J614" s="168">
        <f>IFERROR(MIN('MP Calculations'!$E$30/I614,1),"-")</f>
        <v>0.31014580161562261</v>
      </c>
      <c r="K614" s="12"/>
      <c r="L614" s="159">
        <v>39.331257000000001</v>
      </c>
      <c r="M614" s="159" t="s">
        <v>408</v>
      </c>
      <c r="N614" s="159">
        <v>1708</v>
      </c>
      <c r="O614" s="185">
        <f t="shared" si="31"/>
        <v>67177.786955999996</v>
      </c>
      <c r="P614" s="215">
        <f t="shared" si="32"/>
        <v>20834.908586232134</v>
      </c>
      <c r="Q614" s="215" cm="1">
        <f t="array" ref="Q614">IF(P614="-",0,P614/(1+'General inputs'!$H$32)^IFERROR(INDEX('MP Calculations'!$C$40:$C$130,MATCH(F614,'MP Calculations'!$D$40:$D$130,0),0),-1))</f>
        <v>31439.0047229964</v>
      </c>
    </row>
    <row r="615" spans="3:17" x14ac:dyDescent="0.25">
      <c r="C615" s="159"/>
      <c r="D615" s="165" t="s">
        <v>285</v>
      </c>
      <c r="E615" s="161">
        <v>41261</v>
      </c>
      <c r="F615" s="172" t="str">
        <f t="shared" si="30"/>
        <v>2012-13</v>
      </c>
      <c r="G615" s="68"/>
      <c r="H615" s="167" t="s">
        <v>279</v>
      </c>
      <c r="I615" s="173">
        <v>89592.114709699614</v>
      </c>
      <c r="J615" s="168">
        <f>IFERROR(MIN('MP Calculations'!$E$30/I615,1),"-")</f>
        <v>0.31014580161562261</v>
      </c>
      <c r="K615" s="12"/>
      <c r="L615" s="159">
        <v>62.036856999999998</v>
      </c>
      <c r="M615" s="159" t="s">
        <v>408</v>
      </c>
      <c r="N615" s="159">
        <v>1708</v>
      </c>
      <c r="O615" s="185">
        <f t="shared" si="31"/>
        <v>105958.95175599999</v>
      </c>
      <c r="P615" s="215">
        <f t="shared" si="32"/>
        <v>32862.724030715704</v>
      </c>
      <c r="Q615" s="215" cm="1">
        <f t="array" ref="Q615">IF(P615="-",0,P615/(1+'General inputs'!$H$32)^IFERROR(INDEX('MP Calculations'!$C$40:$C$130,MATCH(F615,'MP Calculations'!$D$40:$D$130,0),0),-1))</f>
        <v>49588.474637941334</v>
      </c>
    </row>
    <row r="616" spans="3:17" x14ac:dyDescent="0.25">
      <c r="C616" s="159"/>
      <c r="D616" s="165" t="s">
        <v>285</v>
      </c>
      <c r="E616" s="161">
        <v>41261</v>
      </c>
      <c r="F616" s="172" t="str">
        <f t="shared" si="30"/>
        <v>2012-13</v>
      </c>
      <c r="G616" s="68"/>
      <c r="H616" s="167" t="s">
        <v>279</v>
      </c>
      <c r="I616" s="173">
        <v>89592.114709699614</v>
      </c>
      <c r="J616" s="168">
        <f>IFERROR(MIN('MP Calculations'!$E$30/I616,1),"-")</f>
        <v>0.31014580161562261</v>
      </c>
      <c r="K616" s="12"/>
      <c r="L616" s="159">
        <v>21.167252000000001</v>
      </c>
      <c r="M616" s="159" t="s">
        <v>408</v>
      </c>
      <c r="N616" s="159">
        <v>1708</v>
      </c>
      <c r="O616" s="185">
        <f t="shared" si="31"/>
        <v>36153.666416</v>
      </c>
      <c r="P616" s="215">
        <f t="shared" si="32"/>
        <v>11212.907851934133</v>
      </c>
      <c r="Q616" s="215" cm="1">
        <f t="array" ref="Q616">IF(P616="-",0,P616/(1+'General inputs'!$H$32)^IFERROR(INDEX('MP Calculations'!$C$40:$C$130,MATCH(F616,'MP Calculations'!$D$40:$D$130,0),0),-1))</f>
        <v>16919.808477030241</v>
      </c>
    </row>
    <row r="617" spans="3:17" x14ac:dyDescent="0.25">
      <c r="C617" s="159"/>
      <c r="D617" s="165" t="s">
        <v>285</v>
      </c>
      <c r="E617" s="161">
        <v>41261</v>
      </c>
      <c r="F617" s="172" t="str">
        <f t="shared" si="30"/>
        <v>2012-13</v>
      </c>
      <c r="G617" s="68"/>
      <c r="H617" s="167" t="s">
        <v>279</v>
      </c>
      <c r="I617" s="173">
        <v>89592.114709699614</v>
      </c>
      <c r="J617" s="168">
        <f>IFERROR(MIN('MP Calculations'!$E$30/I617,1),"-")</f>
        <v>0.31014580161562261</v>
      </c>
      <c r="K617" s="12"/>
      <c r="L617" s="159">
        <v>61.051454</v>
      </c>
      <c r="M617" s="159" t="s">
        <v>408</v>
      </c>
      <c r="N617" s="159">
        <v>1708</v>
      </c>
      <c r="O617" s="185">
        <f t="shared" si="31"/>
        <v>104275.883432</v>
      </c>
      <c r="P617" s="215">
        <f t="shared" si="32"/>
        <v>32340.727456194862</v>
      </c>
      <c r="Q617" s="215" cm="1">
        <f t="array" ref="Q617">IF(P617="-",0,P617/(1+'General inputs'!$H$32)^IFERROR(INDEX('MP Calculations'!$C$40:$C$130,MATCH(F617,'MP Calculations'!$D$40:$D$130,0),0),-1))</f>
        <v>48800.803662384802</v>
      </c>
    </row>
    <row r="618" spans="3:17" x14ac:dyDescent="0.25">
      <c r="C618" s="159"/>
      <c r="D618" s="165" t="s">
        <v>285</v>
      </c>
      <c r="E618" s="161">
        <v>41261</v>
      </c>
      <c r="F618" s="172" t="str">
        <f t="shared" si="30"/>
        <v>2012-13</v>
      </c>
      <c r="G618" s="68"/>
      <c r="H618" s="167" t="s">
        <v>279</v>
      </c>
      <c r="I618" s="173">
        <v>89592.114709699614</v>
      </c>
      <c r="J618" s="168">
        <f>IFERROR(MIN('MP Calculations'!$E$30/I618,1),"-")</f>
        <v>0.31014580161562261</v>
      </c>
      <c r="K618" s="12"/>
      <c r="L618" s="159">
        <v>66.124720999999994</v>
      </c>
      <c r="M618" s="159" t="s">
        <v>408</v>
      </c>
      <c r="N618" s="159">
        <v>1708</v>
      </c>
      <c r="O618" s="185">
        <f t="shared" si="31"/>
        <v>112941.02346799998</v>
      </c>
      <c r="P618" s="215">
        <f t="shared" si="32"/>
        <v>35028.184258771704</v>
      </c>
      <c r="Q618" s="215" cm="1">
        <f t="array" ref="Q618">IF(P618="-",0,P618/(1+'General inputs'!$H$32)^IFERROR(INDEX('MP Calculations'!$C$40:$C$130,MATCH(F618,'MP Calculations'!$D$40:$D$130,0),0),-1))</f>
        <v>52856.063456751952</v>
      </c>
    </row>
    <row r="619" spans="3:17" x14ac:dyDescent="0.25">
      <c r="C619" s="159"/>
      <c r="D619" s="165" t="s">
        <v>285</v>
      </c>
      <c r="E619" s="161">
        <v>41261</v>
      </c>
      <c r="F619" s="172" t="str">
        <f t="shared" si="30"/>
        <v>2012-13</v>
      </c>
      <c r="G619" s="68"/>
      <c r="H619" s="167" t="s">
        <v>279</v>
      </c>
      <c r="I619" s="173">
        <v>89592.114709699614</v>
      </c>
      <c r="J619" s="168">
        <f>IFERROR(MIN('MP Calculations'!$E$30/I619,1),"-")</f>
        <v>0.31014580161562261</v>
      </c>
      <c r="K619" s="12"/>
      <c r="L619" s="159">
        <v>80.824019000000007</v>
      </c>
      <c r="M619" s="159" t="s">
        <v>408</v>
      </c>
      <c r="N619" s="159">
        <v>1708</v>
      </c>
      <c r="O619" s="185">
        <f t="shared" si="31"/>
        <v>138047.42445200001</v>
      </c>
      <c r="P619" s="215">
        <f t="shared" si="32"/>
        <v>42814.829117637644</v>
      </c>
      <c r="Q619" s="215" cm="1">
        <f t="array" ref="Q619">IF(P619="-",0,P619/(1+'General inputs'!$H$32)^IFERROR(INDEX('MP Calculations'!$C$40:$C$130,MATCH(F619,'MP Calculations'!$D$40:$D$130,0),0),-1))</f>
        <v>64605.784530927944</v>
      </c>
    </row>
    <row r="620" spans="3:17" x14ac:dyDescent="0.25">
      <c r="C620" s="159"/>
      <c r="D620" s="165" t="s">
        <v>285</v>
      </c>
      <c r="E620" s="161">
        <v>41261</v>
      </c>
      <c r="F620" s="172" t="str">
        <f t="shared" si="30"/>
        <v>2012-13</v>
      </c>
      <c r="G620" s="68"/>
      <c r="H620" s="167" t="s">
        <v>279</v>
      </c>
      <c r="I620" s="173">
        <v>89592.114709699614</v>
      </c>
      <c r="J620" s="168">
        <f>IFERROR(MIN('MP Calculations'!$E$30/I620,1),"-")</f>
        <v>0.31014580161562261</v>
      </c>
      <c r="K620" s="12"/>
      <c r="L620" s="159">
        <v>1.78996</v>
      </c>
      <c r="M620" s="159" t="s">
        <v>408</v>
      </c>
      <c r="N620" s="159">
        <v>1708</v>
      </c>
      <c r="O620" s="185">
        <f t="shared" si="31"/>
        <v>3057.2516799999999</v>
      </c>
      <c r="P620" s="215">
        <f t="shared" si="32"/>
        <v>948.19377303430883</v>
      </c>
      <c r="Q620" s="215" cm="1">
        <f t="array" ref="Q620">IF(P620="-",0,P620/(1+'General inputs'!$H$32)^IFERROR(INDEX('MP Calculations'!$C$40:$C$130,MATCH(F620,'MP Calculations'!$D$40:$D$130,0),0),-1))</f>
        <v>1430.7847037274867</v>
      </c>
    </row>
    <row r="621" spans="3:17" x14ac:dyDescent="0.25">
      <c r="C621" s="159"/>
      <c r="D621" s="165" t="s">
        <v>285</v>
      </c>
      <c r="E621" s="161">
        <v>41261</v>
      </c>
      <c r="F621" s="172" t="str">
        <f t="shared" si="30"/>
        <v>2012-13</v>
      </c>
      <c r="G621" s="68"/>
      <c r="H621" s="167" t="s">
        <v>279</v>
      </c>
      <c r="I621" s="173">
        <v>89592.114709699614</v>
      </c>
      <c r="J621" s="168">
        <f>IFERROR(MIN('MP Calculations'!$E$30/I621,1),"-")</f>
        <v>0.31014580161562261</v>
      </c>
      <c r="K621" s="12"/>
      <c r="L621" s="159">
        <v>133.88791699999999</v>
      </c>
      <c r="M621" s="159" t="s">
        <v>408</v>
      </c>
      <c r="N621" s="159">
        <v>1708</v>
      </c>
      <c r="O621" s="185">
        <f t="shared" si="31"/>
        <v>228680.56223599997</v>
      </c>
      <c r="P621" s="215">
        <f t="shared" si="32"/>
        <v>70924.316288595481</v>
      </c>
      <c r="Q621" s="215" cm="1">
        <f t="array" ref="Q621">IF(P621="-",0,P621/(1+'General inputs'!$H$32)^IFERROR(INDEX('MP Calculations'!$C$40:$C$130,MATCH(F621,'MP Calculations'!$D$40:$D$130,0),0),-1))</f>
        <v>107021.82376004789</v>
      </c>
    </row>
    <row r="622" spans="3:17" x14ac:dyDescent="0.25">
      <c r="C622" s="159"/>
      <c r="D622" s="165" t="s">
        <v>285</v>
      </c>
      <c r="E622" s="161">
        <v>41261</v>
      </c>
      <c r="F622" s="172" t="str">
        <f t="shared" si="30"/>
        <v>2012-13</v>
      </c>
      <c r="G622" s="68"/>
      <c r="H622" s="167" t="s">
        <v>279</v>
      </c>
      <c r="I622" s="173">
        <v>89592.114709699614</v>
      </c>
      <c r="J622" s="168">
        <f>IFERROR(MIN('MP Calculations'!$E$30/I622,1),"-")</f>
        <v>0.31014580161562261</v>
      </c>
      <c r="K622" s="12"/>
      <c r="L622" s="159">
        <v>2.185006</v>
      </c>
      <c r="M622" s="159" t="s">
        <v>408</v>
      </c>
      <c r="N622" s="159">
        <v>1708</v>
      </c>
      <c r="O622" s="185">
        <f t="shared" si="31"/>
        <v>3731.9902480000001</v>
      </c>
      <c r="P622" s="215">
        <f t="shared" si="32"/>
        <v>1157.4611070876463</v>
      </c>
      <c r="Q622" s="215" cm="1">
        <f t="array" ref="Q622">IF(P622="-",0,P622/(1+'General inputs'!$H$32)^IFERROR(INDEX('MP Calculations'!$C$40:$C$130,MATCH(F622,'MP Calculations'!$D$40:$D$130,0),0),-1))</f>
        <v>1746.5603490316998</v>
      </c>
    </row>
    <row r="623" spans="3:17" x14ac:dyDescent="0.25">
      <c r="C623" s="159"/>
      <c r="D623" s="165" t="s">
        <v>285</v>
      </c>
      <c r="E623" s="161">
        <v>41261</v>
      </c>
      <c r="F623" s="172" t="str">
        <f t="shared" si="30"/>
        <v>2012-13</v>
      </c>
      <c r="G623" s="68"/>
      <c r="H623" s="167" t="s">
        <v>279</v>
      </c>
      <c r="I623" s="173">
        <v>89592.114709699614</v>
      </c>
      <c r="J623" s="168">
        <f>IFERROR(MIN('MP Calculations'!$E$30/I623,1),"-")</f>
        <v>0.31014580161562261</v>
      </c>
      <c r="K623" s="12"/>
      <c r="L623" s="159">
        <v>47.570163999999998</v>
      </c>
      <c r="M623" s="159" t="s">
        <v>408</v>
      </c>
      <c r="N623" s="159">
        <v>1708</v>
      </c>
      <c r="O623" s="185">
        <f t="shared" si="31"/>
        <v>81249.840111999991</v>
      </c>
      <c r="P623" s="215">
        <f t="shared" si="32"/>
        <v>25199.296792677404</v>
      </c>
      <c r="Q623" s="215" cm="1">
        <f t="array" ref="Q623">IF(P623="-",0,P623/(1+'General inputs'!$H$32)^IFERROR(INDEX('MP Calculations'!$C$40:$C$130,MATCH(F623,'MP Calculations'!$D$40:$D$130,0),0),-1))</f>
        <v>38024.683794614379</v>
      </c>
    </row>
    <row r="624" spans="3:17" x14ac:dyDescent="0.25">
      <c r="C624" s="159"/>
      <c r="D624" s="165" t="s">
        <v>285</v>
      </c>
      <c r="E624" s="161">
        <v>41261</v>
      </c>
      <c r="F624" s="172" t="str">
        <f t="shared" si="30"/>
        <v>2012-13</v>
      </c>
      <c r="G624" s="68"/>
      <c r="H624" s="167" t="s">
        <v>279</v>
      </c>
      <c r="I624" s="173">
        <v>89592.114709699614</v>
      </c>
      <c r="J624" s="168">
        <f>IFERROR(MIN('MP Calculations'!$E$30/I624,1),"-")</f>
        <v>0.31014580161562261</v>
      </c>
      <c r="K624" s="12"/>
      <c r="L624" s="159">
        <v>280.32633399999997</v>
      </c>
      <c r="M624" s="159" t="s">
        <v>408</v>
      </c>
      <c r="N624" s="159">
        <v>1708</v>
      </c>
      <c r="O624" s="185">
        <f t="shared" si="31"/>
        <v>478797.37847199995</v>
      </c>
      <c r="P624" s="215">
        <f t="shared" si="32"/>
        <v>148496.99675765706</v>
      </c>
      <c r="Q624" s="215" cm="1">
        <f t="array" ref="Q624">IF(P624="-",0,P624/(1+'General inputs'!$H$32)^IFERROR(INDEX('MP Calculations'!$C$40:$C$130,MATCH(F624,'MP Calculations'!$D$40:$D$130,0),0),-1))</f>
        <v>224075.75070906751</v>
      </c>
    </row>
    <row r="625" spans="3:17" x14ac:dyDescent="0.25">
      <c r="C625" s="159"/>
      <c r="D625" s="165" t="s">
        <v>285</v>
      </c>
      <c r="E625" s="161">
        <v>41261</v>
      </c>
      <c r="F625" s="172" t="str">
        <f t="shared" si="30"/>
        <v>2012-13</v>
      </c>
      <c r="G625" s="68"/>
      <c r="H625" s="167" t="s">
        <v>279</v>
      </c>
      <c r="I625" s="173">
        <v>89592.114709699614</v>
      </c>
      <c r="J625" s="168">
        <f>IFERROR(MIN('MP Calculations'!$E$30/I625,1),"-")</f>
        <v>0.31014580161562261</v>
      </c>
      <c r="K625" s="12"/>
      <c r="L625" s="159">
        <v>38.279980000000002</v>
      </c>
      <c r="M625" s="159" t="s">
        <v>408</v>
      </c>
      <c r="N625" s="159">
        <v>1708</v>
      </c>
      <c r="O625" s="185">
        <f t="shared" si="31"/>
        <v>65382.205840000002</v>
      </c>
      <c r="P625" s="215">
        <f t="shared" si="32"/>
        <v>20278.016641644441</v>
      </c>
      <c r="Q625" s="215" cm="1">
        <f t="array" ref="Q625">IF(P625="-",0,P625/(1+'General inputs'!$H$32)^IFERROR(INDEX('MP Calculations'!$C$40:$C$130,MATCH(F625,'MP Calculations'!$D$40:$D$130,0),0),-1))</f>
        <v>30598.678095037947</v>
      </c>
    </row>
    <row r="626" spans="3:17" x14ac:dyDescent="0.25">
      <c r="C626" s="159"/>
      <c r="D626" s="165" t="s">
        <v>285</v>
      </c>
      <c r="E626" s="161">
        <v>41261</v>
      </c>
      <c r="F626" s="172" t="str">
        <f t="shared" si="30"/>
        <v>2012-13</v>
      </c>
      <c r="G626" s="68"/>
      <c r="H626" s="167" t="s">
        <v>279</v>
      </c>
      <c r="I626" s="173">
        <v>89592.114709699614</v>
      </c>
      <c r="J626" s="168">
        <f>IFERROR(MIN('MP Calculations'!$E$30/I626,1),"-")</f>
        <v>0.31014580161562261</v>
      </c>
      <c r="K626" s="12"/>
      <c r="L626" s="159">
        <v>25.964479000000001</v>
      </c>
      <c r="M626" s="159" t="s">
        <v>408</v>
      </c>
      <c r="N626" s="159">
        <v>1708</v>
      </c>
      <c r="O626" s="185">
        <f t="shared" si="31"/>
        <v>44347.330132000003</v>
      </c>
      <c r="P626" s="215">
        <f t="shared" si="32"/>
        <v>13754.138253301795</v>
      </c>
      <c r="Q626" s="215" cm="1">
        <f t="array" ref="Q626">IF(P626="-",0,P626/(1+'General inputs'!$H$32)^IFERROR(INDEX('MP Calculations'!$C$40:$C$130,MATCH(F626,'MP Calculations'!$D$40:$D$130,0),0),-1))</f>
        <v>20754.418754303759</v>
      </c>
    </row>
    <row r="627" spans="3:17" x14ac:dyDescent="0.25">
      <c r="C627" s="159"/>
      <c r="D627" s="165" t="s">
        <v>285</v>
      </c>
      <c r="E627" s="161">
        <v>41261</v>
      </c>
      <c r="F627" s="172" t="str">
        <f t="shared" si="30"/>
        <v>2012-13</v>
      </c>
      <c r="G627" s="68"/>
      <c r="H627" s="167" t="s">
        <v>279</v>
      </c>
      <c r="I627" s="173">
        <v>89592.114709699614</v>
      </c>
      <c r="J627" s="168">
        <f>IFERROR(MIN('MP Calculations'!$E$30/I627,1),"-")</f>
        <v>0.31014580161562261</v>
      </c>
      <c r="K627" s="12"/>
      <c r="L627" s="159">
        <v>95.439959999999999</v>
      </c>
      <c r="M627" s="159" t="s">
        <v>408</v>
      </c>
      <c r="N627" s="159">
        <v>1708</v>
      </c>
      <c r="O627" s="185">
        <f t="shared" si="31"/>
        <v>163011.45168</v>
      </c>
      <c r="P627" s="215">
        <f t="shared" si="32"/>
        <v>50557.317353819933</v>
      </c>
      <c r="Q627" s="215" cm="1">
        <f t="array" ref="Q627">IF(P627="-",0,P627/(1+'General inputs'!$H$32)^IFERROR(INDEX('MP Calculations'!$C$40:$C$130,MATCH(F627,'MP Calculations'!$D$40:$D$130,0),0),-1))</f>
        <v>76288.875110261244</v>
      </c>
    </row>
    <row r="628" spans="3:17" x14ac:dyDescent="0.25">
      <c r="C628" s="159"/>
      <c r="D628" s="165" t="s">
        <v>285</v>
      </c>
      <c r="E628" s="161">
        <v>41261</v>
      </c>
      <c r="F628" s="172" t="str">
        <f t="shared" si="30"/>
        <v>2012-13</v>
      </c>
      <c r="G628" s="68"/>
      <c r="H628" s="167" t="s">
        <v>279</v>
      </c>
      <c r="I628" s="173">
        <v>89592.114709699614</v>
      </c>
      <c r="J628" s="168">
        <f>IFERROR(MIN('MP Calculations'!$E$30/I628,1),"-")</f>
        <v>0.31014580161562261</v>
      </c>
      <c r="K628" s="12"/>
      <c r="L628" s="159">
        <v>79.449719000000002</v>
      </c>
      <c r="M628" s="159" t="s">
        <v>408</v>
      </c>
      <c r="N628" s="159">
        <v>1708</v>
      </c>
      <c r="O628" s="185">
        <f t="shared" si="31"/>
        <v>135700.12005200001</v>
      </c>
      <c r="P628" s="215">
        <f t="shared" si="32"/>
        <v>42086.822512863764</v>
      </c>
      <c r="Q628" s="215" cm="1">
        <f t="array" ref="Q628">IF(P628="-",0,P628/(1+'General inputs'!$H$32)^IFERROR(INDEX('MP Calculations'!$C$40:$C$130,MATCH(F628,'MP Calculations'!$D$40:$D$130,0),0),-1))</f>
        <v>63507.253045122285</v>
      </c>
    </row>
    <row r="629" spans="3:17" x14ac:dyDescent="0.25">
      <c r="C629" s="159"/>
      <c r="D629" s="165" t="s">
        <v>285</v>
      </c>
      <c r="E629" s="161">
        <v>41261</v>
      </c>
      <c r="F629" s="172" t="str">
        <f t="shared" si="30"/>
        <v>2012-13</v>
      </c>
      <c r="G629" s="68"/>
      <c r="H629" s="167" t="s">
        <v>279</v>
      </c>
      <c r="I629" s="173">
        <v>89592.114709699614</v>
      </c>
      <c r="J629" s="168">
        <f>IFERROR(MIN('MP Calculations'!$E$30/I629,1),"-")</f>
        <v>0.31014580161562261</v>
      </c>
      <c r="K629" s="12"/>
      <c r="L629" s="159">
        <v>18.493013999999999</v>
      </c>
      <c r="M629" s="159" t="s">
        <v>408</v>
      </c>
      <c r="N629" s="159">
        <v>1708</v>
      </c>
      <c r="O629" s="185">
        <f t="shared" si="31"/>
        <v>31586.067911999999</v>
      </c>
      <c r="P629" s="215">
        <f t="shared" si="32"/>
        <v>9796.2863524527347</v>
      </c>
      <c r="Q629" s="215" cm="1">
        <f t="array" ref="Q629">IF(P629="-",0,P629/(1+'General inputs'!$H$32)^IFERROR(INDEX('MP Calculations'!$C$40:$C$130,MATCH(F629,'MP Calculations'!$D$40:$D$130,0),0),-1))</f>
        <v>14782.185946623536</v>
      </c>
    </row>
    <row r="630" spans="3:17" x14ac:dyDescent="0.25">
      <c r="C630" s="159"/>
      <c r="D630" s="165" t="s">
        <v>285</v>
      </c>
      <c r="E630" s="161">
        <v>41261</v>
      </c>
      <c r="F630" s="172" t="str">
        <f t="shared" si="30"/>
        <v>2012-13</v>
      </c>
      <c r="G630" s="68"/>
      <c r="H630" s="167" t="s">
        <v>279</v>
      </c>
      <c r="I630" s="173">
        <v>89592.114709699614</v>
      </c>
      <c r="J630" s="168">
        <f>IFERROR(MIN('MP Calculations'!$E$30/I630,1),"-")</f>
        <v>0.31014580161562261</v>
      </c>
      <c r="K630" s="12"/>
      <c r="L630" s="159">
        <v>123.03035800000001</v>
      </c>
      <c r="M630" s="159" t="s">
        <v>408</v>
      </c>
      <c r="N630" s="159">
        <v>1708</v>
      </c>
      <c r="O630" s="185">
        <f t="shared" si="31"/>
        <v>210135.85146400001</v>
      </c>
      <c r="P630" s="215">
        <f t="shared" si="32"/>
        <v>65172.752100483689</v>
      </c>
      <c r="Q630" s="215" cm="1">
        <f t="array" ref="Q630">IF(P630="-",0,P630/(1+'General inputs'!$H$32)^IFERROR(INDEX('MP Calculations'!$C$40:$C$130,MATCH(F630,'MP Calculations'!$D$40:$D$130,0),0),-1))</f>
        <v>98342.954211555931</v>
      </c>
    </row>
    <row r="631" spans="3:17" x14ac:dyDescent="0.25">
      <c r="C631" s="159"/>
      <c r="D631" s="165" t="s">
        <v>285</v>
      </c>
      <c r="E631" s="161">
        <v>41261</v>
      </c>
      <c r="F631" s="172" t="str">
        <f t="shared" si="30"/>
        <v>2012-13</v>
      </c>
      <c r="G631" s="68"/>
      <c r="H631" s="167" t="s">
        <v>279</v>
      </c>
      <c r="I631" s="173">
        <v>89592.114709699614</v>
      </c>
      <c r="J631" s="168">
        <f>IFERROR(MIN('MP Calculations'!$E$30/I631,1),"-")</f>
        <v>0.31014580161562261</v>
      </c>
      <c r="K631" s="12"/>
      <c r="L631" s="159">
        <v>2.9999570000000002</v>
      </c>
      <c r="M631" s="159" t="s">
        <v>408</v>
      </c>
      <c r="N631" s="159">
        <v>1708</v>
      </c>
      <c r="O631" s="185">
        <f t="shared" si="31"/>
        <v>5123.9265560000003</v>
      </c>
      <c r="P631" s="215">
        <f t="shared" si="32"/>
        <v>1589.1643091301964</v>
      </c>
      <c r="Q631" s="215" cm="1">
        <f t="array" ref="Q631">IF(P631="-",0,P631/(1+'General inputs'!$H$32)^IFERROR(INDEX('MP Calculations'!$C$40:$C$130,MATCH(F631,'MP Calculations'!$D$40:$D$130,0),0),-1))</f>
        <v>2397.9824059980115</v>
      </c>
    </row>
    <row r="632" spans="3:17" x14ac:dyDescent="0.25">
      <c r="C632" s="159"/>
      <c r="D632" s="165" t="s">
        <v>285</v>
      </c>
      <c r="E632" s="161">
        <v>41261</v>
      </c>
      <c r="F632" s="172" t="str">
        <f t="shared" si="30"/>
        <v>2012-13</v>
      </c>
      <c r="G632" s="68"/>
      <c r="H632" s="167" t="s">
        <v>279</v>
      </c>
      <c r="I632" s="173">
        <v>89592.114709699614</v>
      </c>
      <c r="J632" s="168">
        <f>IFERROR(MIN('MP Calculations'!$E$30/I632,1),"-")</f>
        <v>0.31014580161562261</v>
      </c>
      <c r="K632" s="12"/>
      <c r="L632" s="159">
        <v>0.91945500000000002</v>
      </c>
      <c r="M632" s="159" t="s">
        <v>408</v>
      </c>
      <c r="N632" s="159">
        <v>1708</v>
      </c>
      <c r="O632" s="185">
        <f t="shared" si="31"/>
        <v>1570.42914</v>
      </c>
      <c r="P632" s="215">
        <f t="shared" si="32"/>
        <v>487.06200450583282</v>
      </c>
      <c r="Q632" s="215" cm="1">
        <f t="array" ref="Q632">IF(P632="-",0,P632/(1+'General inputs'!$H$32)^IFERROR(INDEX('MP Calculations'!$C$40:$C$130,MATCH(F632,'MP Calculations'!$D$40:$D$130,0),0),-1))</f>
        <v>734.95617207410021</v>
      </c>
    </row>
    <row r="633" spans="3:17" x14ac:dyDescent="0.25">
      <c r="C633" s="159"/>
      <c r="D633" s="165" t="s">
        <v>285</v>
      </c>
      <c r="E633" s="161">
        <v>41261</v>
      </c>
      <c r="F633" s="172" t="str">
        <f t="shared" si="30"/>
        <v>2012-13</v>
      </c>
      <c r="G633" s="68"/>
      <c r="H633" s="167" t="s">
        <v>279</v>
      </c>
      <c r="I633" s="173">
        <v>89592.114709699614</v>
      </c>
      <c r="J633" s="168">
        <f>IFERROR(MIN('MP Calculations'!$E$30/I633,1),"-")</f>
        <v>0.31014580161562261</v>
      </c>
      <c r="K633" s="12"/>
      <c r="L633" s="159">
        <v>15.929383</v>
      </c>
      <c r="M633" s="159" t="s">
        <v>408</v>
      </c>
      <c r="N633" s="159">
        <v>1708</v>
      </c>
      <c r="O633" s="185">
        <f t="shared" si="31"/>
        <v>27207.386164</v>
      </c>
      <c r="P633" s="215">
        <f t="shared" si="32"/>
        <v>8438.2565916995791</v>
      </c>
      <c r="Q633" s="215" cm="1">
        <f t="array" ref="Q633">IF(P633="-",0,P633/(1+'General inputs'!$H$32)^IFERROR(INDEX('MP Calculations'!$C$40:$C$130,MATCH(F633,'MP Calculations'!$D$40:$D$130,0),0),-1))</f>
        <v>12732.975896789127</v>
      </c>
    </row>
    <row r="634" spans="3:17" x14ac:dyDescent="0.25">
      <c r="C634" s="159"/>
      <c r="D634" s="165" t="s">
        <v>285</v>
      </c>
      <c r="E634" s="161">
        <v>41261</v>
      </c>
      <c r="F634" s="172" t="str">
        <f t="shared" si="30"/>
        <v>2012-13</v>
      </c>
      <c r="G634" s="68"/>
      <c r="H634" s="167" t="s">
        <v>279</v>
      </c>
      <c r="I634" s="173">
        <v>89592.114709699614</v>
      </c>
      <c r="J634" s="168">
        <f>IFERROR(MIN('MP Calculations'!$E$30/I634,1),"-")</f>
        <v>0.31014580161562261</v>
      </c>
      <c r="K634" s="12"/>
      <c r="L634" s="159">
        <v>236.033028</v>
      </c>
      <c r="M634" s="159" t="s">
        <v>408</v>
      </c>
      <c r="N634" s="159">
        <v>1708</v>
      </c>
      <c r="O634" s="185">
        <f t="shared" si="31"/>
        <v>403144.41182400001</v>
      </c>
      <c r="P634" s="215">
        <f t="shared" si="32"/>
        <v>125033.54677201317</v>
      </c>
      <c r="Q634" s="215" cm="1">
        <f t="array" ref="Q634">IF(P634="-",0,P634/(1+'General inputs'!$H$32)^IFERROR(INDEX('MP Calculations'!$C$40:$C$130,MATCH(F634,'MP Calculations'!$D$40:$D$130,0),0),-1))</f>
        <v>188670.38706836</v>
      </c>
    </row>
    <row r="635" spans="3:17" x14ac:dyDescent="0.25">
      <c r="C635" s="159"/>
      <c r="D635" s="165" t="s">
        <v>285</v>
      </c>
      <c r="E635" s="161">
        <v>41261</v>
      </c>
      <c r="F635" s="172" t="str">
        <f t="shared" si="30"/>
        <v>2012-13</v>
      </c>
      <c r="G635" s="68"/>
      <c r="H635" s="167" t="s">
        <v>279</v>
      </c>
      <c r="I635" s="173">
        <v>89592.114709699614</v>
      </c>
      <c r="J635" s="168">
        <f>IFERROR(MIN('MP Calculations'!$E$30/I635,1),"-")</f>
        <v>0.31014580161562261</v>
      </c>
      <c r="K635" s="12"/>
      <c r="L635" s="159">
        <v>50.378048999999997</v>
      </c>
      <c r="M635" s="159" t="s">
        <v>408</v>
      </c>
      <c r="N635" s="159">
        <v>1708</v>
      </c>
      <c r="O635" s="185">
        <f t="shared" si="31"/>
        <v>86045.707691999996</v>
      </c>
      <c r="P635" s="215">
        <f t="shared" si="32"/>
        <v>26686.714987718882</v>
      </c>
      <c r="Q635" s="215" cm="1">
        <f t="array" ref="Q635">IF(P635="-",0,P635/(1+'General inputs'!$H$32)^IFERROR(INDEX('MP Calculations'!$C$40:$C$130,MATCH(F635,'MP Calculations'!$D$40:$D$130,0),0),-1))</f>
        <v>40269.135574445136</v>
      </c>
    </row>
    <row r="636" spans="3:17" x14ac:dyDescent="0.25">
      <c r="C636" s="159"/>
      <c r="D636" s="165" t="s">
        <v>285</v>
      </c>
      <c r="E636" s="161">
        <v>41261</v>
      </c>
      <c r="F636" s="172" t="str">
        <f t="shared" si="30"/>
        <v>2012-13</v>
      </c>
      <c r="G636" s="68"/>
      <c r="H636" s="167" t="s">
        <v>279</v>
      </c>
      <c r="I636" s="173">
        <v>89592.114709699614</v>
      </c>
      <c r="J636" s="168">
        <f>IFERROR(MIN('MP Calculations'!$E$30/I636,1),"-")</f>
        <v>0.31014580161562261</v>
      </c>
      <c r="K636" s="12"/>
      <c r="L636" s="159">
        <v>24.400030000000001</v>
      </c>
      <c r="M636" s="159" t="s">
        <v>408</v>
      </c>
      <c r="N636" s="159">
        <v>1708</v>
      </c>
      <c r="O636" s="185">
        <f t="shared" si="31"/>
        <v>41675.251240000005</v>
      </c>
      <c r="P636" s="215">
        <f t="shared" si="32"/>
        <v>12925.404203362272</v>
      </c>
      <c r="Q636" s="215" cm="1">
        <f t="array" ref="Q636">IF(P636="-",0,P636/(1+'General inputs'!$H$32)^IFERROR(INDEX('MP Calculations'!$C$40:$C$130,MATCH(F636,'MP Calculations'!$D$40:$D$130,0),0),-1))</f>
        <v>19503.893771085273</v>
      </c>
    </row>
    <row r="637" spans="3:17" x14ac:dyDescent="0.25">
      <c r="C637" s="159"/>
      <c r="D637" s="165" t="s">
        <v>285</v>
      </c>
      <c r="E637" s="161">
        <v>41261</v>
      </c>
      <c r="F637" s="172" t="str">
        <f t="shared" si="30"/>
        <v>2012-13</v>
      </c>
      <c r="G637" s="68"/>
      <c r="H637" s="167" t="s">
        <v>279</v>
      </c>
      <c r="I637" s="173">
        <v>89592.114709699614</v>
      </c>
      <c r="J637" s="168">
        <f>IFERROR(MIN('MP Calculations'!$E$30/I637,1),"-")</f>
        <v>0.31014580161562261</v>
      </c>
      <c r="K637" s="12"/>
      <c r="L637" s="159">
        <v>69.949325999999999</v>
      </c>
      <c r="M637" s="159" t="s">
        <v>408</v>
      </c>
      <c r="N637" s="159">
        <v>1708</v>
      </c>
      <c r="O637" s="185">
        <f t="shared" si="31"/>
        <v>119473.448808</v>
      </c>
      <c r="P637" s="215">
        <f t="shared" si="32"/>
        <v>37054.188552340209</v>
      </c>
      <c r="Q637" s="215" cm="1">
        <f t="array" ref="Q637">IF(P637="-",0,P637/(1+'General inputs'!$H$32)^IFERROR(INDEX('MP Calculations'!$C$40:$C$130,MATCH(F637,'MP Calculations'!$D$40:$D$130,0),0),-1))</f>
        <v>55913.219109280311</v>
      </c>
    </row>
    <row r="638" spans="3:17" x14ac:dyDescent="0.25">
      <c r="C638" s="159"/>
      <c r="D638" s="165" t="s">
        <v>285</v>
      </c>
      <c r="E638" s="161">
        <v>41261</v>
      </c>
      <c r="F638" s="172" t="str">
        <f t="shared" si="30"/>
        <v>2012-13</v>
      </c>
      <c r="G638" s="68"/>
      <c r="H638" s="167" t="s">
        <v>279</v>
      </c>
      <c r="I638" s="173">
        <v>89592.114709699614</v>
      </c>
      <c r="J638" s="168">
        <f>IFERROR(MIN('MP Calculations'!$E$30/I638,1),"-")</f>
        <v>0.31014580161562261</v>
      </c>
      <c r="K638" s="12"/>
      <c r="L638" s="159">
        <v>36.530669000000003</v>
      </c>
      <c r="M638" s="159" t="s">
        <v>408</v>
      </c>
      <c r="N638" s="159">
        <v>1708</v>
      </c>
      <c r="O638" s="185">
        <f t="shared" si="31"/>
        <v>62394.382652000008</v>
      </c>
      <c r="P638" s="215">
        <f t="shared" si="32"/>
        <v>19351.355823916438</v>
      </c>
      <c r="Q638" s="215" cm="1">
        <f t="array" ref="Q638">IF(P638="-",0,P638/(1+'General inputs'!$H$32)^IFERROR(INDEX('MP Calculations'!$C$40:$C$130,MATCH(F638,'MP Calculations'!$D$40:$D$130,0),0),-1))</f>
        <v>29200.385719307633</v>
      </c>
    </row>
    <row r="639" spans="3:17" x14ac:dyDescent="0.25">
      <c r="C639" s="159"/>
      <c r="D639" s="165" t="s">
        <v>285</v>
      </c>
      <c r="E639" s="161">
        <v>41261</v>
      </c>
      <c r="F639" s="172" t="str">
        <f t="shared" si="30"/>
        <v>2012-13</v>
      </c>
      <c r="G639" s="68"/>
      <c r="H639" s="167" t="s">
        <v>279</v>
      </c>
      <c r="I639" s="173">
        <v>89592.114709699614</v>
      </c>
      <c r="J639" s="168">
        <f>IFERROR(MIN('MP Calculations'!$E$30/I639,1),"-")</f>
        <v>0.31014580161562261</v>
      </c>
      <c r="K639" s="12"/>
      <c r="L639" s="159">
        <v>38.120223000000003</v>
      </c>
      <c r="M639" s="159" t="s">
        <v>408</v>
      </c>
      <c r="N639" s="159">
        <v>1708</v>
      </c>
      <c r="O639" s="185">
        <f t="shared" si="31"/>
        <v>65109.340884000005</v>
      </c>
      <c r="P639" s="215">
        <f t="shared" si="32"/>
        <v>20193.388721133011</v>
      </c>
      <c r="Q639" s="215" cm="1">
        <f t="array" ref="Q639">IF(P639="-",0,P639/(1+'General inputs'!$H$32)^IFERROR(INDEX('MP Calculations'!$C$40:$C$130,MATCH(F639,'MP Calculations'!$D$40:$D$130,0),0),-1))</f>
        <v>30470.978106259769</v>
      </c>
    </row>
    <row r="640" spans="3:17" x14ac:dyDescent="0.25">
      <c r="C640" s="159"/>
      <c r="D640" s="165" t="s">
        <v>285</v>
      </c>
      <c r="E640" s="161">
        <v>41261</v>
      </c>
      <c r="F640" s="172" t="str">
        <f t="shared" si="30"/>
        <v>2012-13</v>
      </c>
      <c r="G640" s="68"/>
      <c r="H640" s="167" t="s">
        <v>279</v>
      </c>
      <c r="I640" s="173">
        <v>89592.114709699614</v>
      </c>
      <c r="J640" s="168">
        <f>IFERROR(MIN('MP Calculations'!$E$30/I640,1),"-")</f>
        <v>0.31014580161562261</v>
      </c>
      <c r="K640" s="12"/>
      <c r="L640" s="159">
        <v>3.0837129999999999</v>
      </c>
      <c r="M640" s="159" t="s">
        <v>408</v>
      </c>
      <c r="N640" s="159">
        <v>1708</v>
      </c>
      <c r="O640" s="185">
        <f t="shared" si="31"/>
        <v>5266.981804</v>
      </c>
      <c r="P640" s="215">
        <f t="shared" si="32"/>
        <v>1633.5322936964781</v>
      </c>
      <c r="Q640" s="215" cm="1">
        <f t="array" ref="Q640">IF(P640="-",0,P640/(1+'General inputs'!$H$32)^IFERROR(INDEX('MP Calculations'!$C$40:$C$130,MATCH(F640,'MP Calculations'!$D$40:$D$130,0),0),-1))</f>
        <v>2464.931837072113</v>
      </c>
    </row>
    <row r="641" spans="3:17" x14ac:dyDescent="0.25">
      <c r="C641" s="159"/>
      <c r="D641" s="165" t="s">
        <v>285</v>
      </c>
      <c r="E641" s="161">
        <v>41261</v>
      </c>
      <c r="F641" s="172" t="str">
        <f t="shared" si="30"/>
        <v>2012-13</v>
      </c>
      <c r="G641" s="68"/>
      <c r="H641" s="167" t="s">
        <v>279</v>
      </c>
      <c r="I641" s="173">
        <v>89592.114709699614</v>
      </c>
      <c r="J641" s="168">
        <f>IFERROR(MIN('MP Calculations'!$E$30/I641,1),"-")</f>
        <v>0.31014580161562261</v>
      </c>
      <c r="K641" s="12"/>
      <c r="L641" s="159">
        <v>19.996559000000001</v>
      </c>
      <c r="M641" s="159" t="s">
        <v>408</v>
      </c>
      <c r="N641" s="159">
        <v>1708</v>
      </c>
      <c r="O641" s="185">
        <f t="shared" si="31"/>
        <v>34154.122772000002</v>
      </c>
      <c r="P641" s="215">
        <f t="shared" si="32"/>
        <v>10592.757785600332</v>
      </c>
      <c r="Q641" s="215" cm="1">
        <f t="array" ref="Q641">IF(P641="-",0,P641/(1+'General inputs'!$H$32)^IFERROR(INDEX('MP Calculations'!$C$40:$C$130,MATCH(F641,'MP Calculations'!$D$40:$D$130,0),0),-1))</f>
        <v>15984.027991901616</v>
      </c>
    </row>
    <row r="642" spans="3:17" x14ac:dyDescent="0.25">
      <c r="C642" s="159"/>
      <c r="D642" s="165" t="s">
        <v>285</v>
      </c>
      <c r="E642" s="161">
        <v>41261</v>
      </c>
      <c r="F642" s="172" t="str">
        <f t="shared" si="30"/>
        <v>2012-13</v>
      </c>
      <c r="G642" s="68"/>
      <c r="H642" s="167" t="s">
        <v>279</v>
      </c>
      <c r="I642" s="173">
        <v>89592.114709699614</v>
      </c>
      <c r="J642" s="168">
        <f>IFERROR(MIN('MP Calculations'!$E$30/I642,1),"-")</f>
        <v>0.31014580161562261</v>
      </c>
      <c r="K642" s="12"/>
      <c r="L642" s="159">
        <v>78.729883000000001</v>
      </c>
      <c r="M642" s="159" t="s">
        <v>408</v>
      </c>
      <c r="N642" s="159">
        <v>1708</v>
      </c>
      <c r="O642" s="185">
        <f t="shared" si="31"/>
        <v>134470.64016400001</v>
      </c>
      <c r="P642" s="215">
        <f t="shared" si="32"/>
        <v>41705.504487429724</v>
      </c>
      <c r="Q642" s="215" cm="1">
        <f t="array" ref="Q642">IF(P642="-",0,P642/(1+'General inputs'!$H$32)^IFERROR(INDEX('MP Calculations'!$C$40:$C$130,MATCH(F642,'MP Calculations'!$D$40:$D$130,0),0),-1))</f>
        <v>62931.860110088899</v>
      </c>
    </row>
    <row r="643" spans="3:17" x14ac:dyDescent="0.25">
      <c r="C643" s="159"/>
      <c r="D643" s="165" t="s">
        <v>285</v>
      </c>
      <c r="E643" s="161">
        <v>41261</v>
      </c>
      <c r="F643" s="172" t="str">
        <f t="shared" si="30"/>
        <v>2012-13</v>
      </c>
      <c r="G643" s="68"/>
      <c r="H643" s="167" t="s">
        <v>279</v>
      </c>
      <c r="I643" s="173">
        <v>89592.114709699614</v>
      </c>
      <c r="J643" s="168">
        <f>IFERROR(MIN('MP Calculations'!$E$30/I643,1),"-")</f>
        <v>0.31014580161562261</v>
      </c>
      <c r="K643" s="12"/>
      <c r="L643" s="159">
        <v>46.264867000000002</v>
      </c>
      <c r="M643" s="159" t="s">
        <v>408</v>
      </c>
      <c r="N643" s="159">
        <v>1708</v>
      </c>
      <c r="O643" s="185">
        <f t="shared" si="31"/>
        <v>79020.392835999999</v>
      </c>
      <c r="P643" s="215">
        <f t="shared" si="32"/>
        <v>24507.843080102622</v>
      </c>
      <c r="Q643" s="215" cm="1">
        <f t="array" ref="Q643">IF(P643="-",0,P643/(1+'General inputs'!$H$32)^IFERROR(INDEX('MP Calculations'!$C$40:$C$130,MATCH(F643,'MP Calculations'!$D$40:$D$130,0),0),-1))</f>
        <v>36981.309092709664</v>
      </c>
    </row>
    <row r="644" spans="3:17" x14ac:dyDescent="0.25">
      <c r="C644" s="159"/>
      <c r="D644" s="165" t="s">
        <v>532</v>
      </c>
      <c r="E644" s="161">
        <v>41261</v>
      </c>
      <c r="F644" s="172" t="str">
        <f t="shared" si="30"/>
        <v>2012-13</v>
      </c>
      <c r="G644" s="68"/>
      <c r="H644" s="167" t="s">
        <v>279</v>
      </c>
      <c r="I644" s="173">
        <v>89592.114709699614</v>
      </c>
      <c r="J644" s="168">
        <f>IFERROR(MIN('MP Calculations'!$E$30/I644,1),"-")</f>
        <v>0.31014580161562261</v>
      </c>
      <c r="K644" s="12"/>
      <c r="L644" s="159">
        <v>107.334925</v>
      </c>
      <c r="M644" s="159" t="s">
        <v>408</v>
      </c>
      <c r="N644" s="159">
        <v>2785</v>
      </c>
      <c r="O644" s="185">
        <f t="shared" si="31"/>
        <v>298927.76612500002</v>
      </c>
      <c r="P644" s="215">
        <f t="shared" si="32"/>
        <v>92711.191650005494</v>
      </c>
      <c r="Q644" s="215" cm="1">
        <f t="array" ref="Q644">IF(P644="-",0,P644/(1+'General inputs'!$H$32)^IFERROR(INDEX('MP Calculations'!$C$40:$C$130,MATCH(F644,'MP Calculations'!$D$40:$D$130,0),0),-1))</f>
        <v>139897.30648903517</v>
      </c>
    </row>
    <row r="645" spans="3:17" x14ac:dyDescent="0.25">
      <c r="C645" s="159"/>
      <c r="D645" s="165" t="s">
        <v>532</v>
      </c>
      <c r="E645" s="161">
        <v>41261</v>
      </c>
      <c r="F645" s="172" t="str">
        <f t="shared" si="30"/>
        <v>2012-13</v>
      </c>
      <c r="G645" s="68"/>
      <c r="H645" s="167" t="s">
        <v>279</v>
      </c>
      <c r="I645" s="173">
        <v>89592.114709699614</v>
      </c>
      <c r="J645" s="168">
        <f>IFERROR(MIN('MP Calculations'!$E$30/I645,1),"-")</f>
        <v>0.31014580161562261</v>
      </c>
      <c r="K645" s="12"/>
      <c r="L645" s="159">
        <v>2.3000229999999999</v>
      </c>
      <c r="M645" s="159" t="s">
        <v>408</v>
      </c>
      <c r="N645" s="159">
        <v>2785</v>
      </c>
      <c r="O645" s="185">
        <f t="shared" si="31"/>
        <v>6405.5640549999998</v>
      </c>
      <c r="P645" s="215">
        <f t="shared" si="32"/>
        <v>1986.658798638193</v>
      </c>
      <c r="Q645" s="215" cm="1">
        <f t="array" ref="Q645">IF(P645="-",0,P645/(1+'General inputs'!$H$32)^IFERROR(INDEX('MP Calculations'!$C$40:$C$130,MATCH(F645,'MP Calculations'!$D$40:$D$130,0),0),-1))</f>
        <v>2997.7849480290788</v>
      </c>
    </row>
    <row r="646" spans="3:17" x14ac:dyDescent="0.25">
      <c r="C646" s="159"/>
      <c r="D646" s="165" t="s">
        <v>532</v>
      </c>
      <c r="E646" s="161">
        <v>41261</v>
      </c>
      <c r="F646" s="172" t="str">
        <f t="shared" si="30"/>
        <v>2012-13</v>
      </c>
      <c r="G646" s="68"/>
      <c r="H646" s="167" t="s">
        <v>279</v>
      </c>
      <c r="I646" s="173">
        <v>89592.114709699614</v>
      </c>
      <c r="J646" s="168">
        <f>IFERROR(MIN('MP Calculations'!$E$30/I646,1),"-")</f>
        <v>0.31014580161562261</v>
      </c>
      <c r="K646" s="12"/>
      <c r="L646" s="159">
        <v>3.099955</v>
      </c>
      <c r="M646" s="159" t="s">
        <v>408</v>
      </c>
      <c r="N646" s="159">
        <v>2785</v>
      </c>
      <c r="O646" s="185">
        <f t="shared" si="31"/>
        <v>8633.3746750000009</v>
      </c>
      <c r="P646" s="215">
        <f t="shared" si="32"/>
        <v>2677.6049092258904</v>
      </c>
      <c r="Q646" s="215" cm="1">
        <f t="array" ref="Q646">IF(P646="-",0,P646/(1+'General inputs'!$H$32)^IFERROR(INDEX('MP Calculations'!$C$40:$C$130,MATCH(F646,'MP Calculations'!$D$40:$D$130,0),0),-1))</f>
        <v>4040.393699787995</v>
      </c>
    </row>
    <row r="647" spans="3:17" x14ac:dyDescent="0.25">
      <c r="C647" s="159"/>
      <c r="D647" s="165" t="s">
        <v>285</v>
      </c>
      <c r="E647" s="161">
        <v>41261</v>
      </c>
      <c r="F647" s="172" t="str">
        <f t="shared" si="30"/>
        <v>2012-13</v>
      </c>
      <c r="G647" s="68"/>
      <c r="H647" s="167" t="s">
        <v>279</v>
      </c>
      <c r="I647" s="173">
        <v>89592.114709699614</v>
      </c>
      <c r="J647" s="168">
        <f>IFERROR(MIN('MP Calculations'!$E$30/I647,1),"-")</f>
        <v>0.31014580161562261</v>
      </c>
      <c r="K647" s="12"/>
      <c r="L647" s="159">
        <v>2.179522</v>
      </c>
      <c r="M647" s="159" t="s">
        <v>408</v>
      </c>
      <c r="N647" s="159">
        <v>1708</v>
      </c>
      <c r="O647" s="185">
        <f t="shared" si="31"/>
        <v>3722.623576</v>
      </c>
      <c r="P647" s="215">
        <f t="shared" si="32"/>
        <v>1154.5560730917357</v>
      </c>
      <c r="Q647" s="215" cm="1">
        <f t="array" ref="Q647">IF(P647="-",0,P647/(1+'General inputs'!$H$32)^IFERROR(INDEX('MP Calculations'!$C$40:$C$130,MATCH(F647,'MP Calculations'!$D$40:$D$130,0),0),-1))</f>
        <v>1742.1767743622986</v>
      </c>
    </row>
    <row r="648" spans="3:17" x14ac:dyDescent="0.25">
      <c r="C648" s="159"/>
      <c r="D648" s="165" t="s">
        <v>353</v>
      </c>
      <c r="E648" s="161">
        <v>41261</v>
      </c>
      <c r="F648" s="172" t="str">
        <f t="shared" si="30"/>
        <v>2012-13</v>
      </c>
      <c r="G648" s="68"/>
      <c r="H648" s="167" t="s">
        <v>279</v>
      </c>
      <c r="I648" s="173">
        <v>89592.114709699614</v>
      </c>
      <c r="J648" s="168">
        <f>IFERROR(MIN('MP Calculations'!$E$30/I648,1),"-")</f>
        <v>0.31014580161562261</v>
      </c>
      <c r="K648" s="12"/>
      <c r="L648" s="159">
        <v>1.0009840000000001</v>
      </c>
      <c r="M648" s="159" t="s">
        <v>408</v>
      </c>
      <c r="N648" s="159">
        <v>940</v>
      </c>
      <c r="O648" s="185">
        <f t="shared" si="31"/>
        <v>940.92496000000006</v>
      </c>
      <c r="P648" s="215">
        <f t="shared" si="32"/>
        <v>291.82392597934768</v>
      </c>
      <c r="Q648" s="215" cm="1">
        <f t="array" ref="Q648">IF(P648="-",0,P648/(1+'General inputs'!$H$32)^IFERROR(INDEX('MP Calculations'!$C$40:$C$130,MATCH(F648,'MP Calculations'!$D$40:$D$130,0),0),-1))</f>
        <v>440.35008597113523</v>
      </c>
    </row>
    <row r="649" spans="3:17" x14ac:dyDescent="0.25">
      <c r="C649" s="159"/>
      <c r="D649" s="165" t="s">
        <v>353</v>
      </c>
      <c r="E649" s="161">
        <v>41261</v>
      </c>
      <c r="F649" s="172" t="str">
        <f t="shared" si="30"/>
        <v>2012-13</v>
      </c>
      <c r="G649" s="68"/>
      <c r="H649" s="167" t="s">
        <v>279</v>
      </c>
      <c r="I649" s="173">
        <v>89592.114709699614</v>
      </c>
      <c r="J649" s="168">
        <f>IFERROR(MIN('MP Calculations'!$E$30/I649,1),"-")</f>
        <v>0.31014580161562261</v>
      </c>
      <c r="K649" s="12"/>
      <c r="L649" s="159">
        <v>1.6331549999999999</v>
      </c>
      <c r="M649" s="159" t="s">
        <v>408</v>
      </c>
      <c r="N649" s="159">
        <v>940</v>
      </c>
      <c r="O649" s="185">
        <f t="shared" si="31"/>
        <v>1535.1657</v>
      </c>
      <c r="P649" s="215">
        <f t="shared" si="32"/>
        <v>476.1251966393084</v>
      </c>
      <c r="Q649" s="215" cm="1">
        <f t="array" ref="Q649">IF(P649="-",0,P649/(1+'General inputs'!$H$32)^IFERROR(INDEX('MP Calculations'!$C$40:$C$130,MATCH(F649,'MP Calculations'!$D$40:$D$130,0),0),-1))</f>
        <v>718.4529869150648</v>
      </c>
    </row>
    <row r="650" spans="3:17" x14ac:dyDescent="0.25">
      <c r="C650" s="159"/>
      <c r="D650" s="165" t="s">
        <v>353</v>
      </c>
      <c r="E650" s="161">
        <v>41261</v>
      </c>
      <c r="F650" s="172" t="str">
        <f t="shared" si="30"/>
        <v>2012-13</v>
      </c>
      <c r="G650" s="68"/>
      <c r="H650" s="167" t="s">
        <v>279</v>
      </c>
      <c r="I650" s="173">
        <v>89592.114709699614</v>
      </c>
      <c r="J650" s="168">
        <f>IFERROR(MIN('MP Calculations'!$E$30/I650,1),"-")</f>
        <v>0.31014580161562261</v>
      </c>
      <c r="K650" s="12"/>
      <c r="L650" s="159">
        <v>1.038249</v>
      </c>
      <c r="M650" s="159" t="s">
        <v>408</v>
      </c>
      <c r="N650" s="159">
        <v>940</v>
      </c>
      <c r="O650" s="185">
        <f t="shared" si="31"/>
        <v>975.95406000000003</v>
      </c>
      <c r="P650" s="215">
        <f t="shared" si="32"/>
        <v>302.68805427872144</v>
      </c>
      <c r="Q650" s="215" cm="1">
        <f t="array" ref="Q650">IF(P650="-",0,P650/(1+'General inputs'!$H$32)^IFERROR(INDEX('MP Calculations'!$C$40:$C$130,MATCH(F650,'MP Calculations'!$D$40:$D$130,0),0),-1))</f>
        <v>456.74360070635009</v>
      </c>
    </row>
    <row r="651" spans="3:17" x14ac:dyDescent="0.25">
      <c r="C651" s="159"/>
      <c r="D651" s="165" t="s">
        <v>353</v>
      </c>
      <c r="E651" s="161">
        <v>41261</v>
      </c>
      <c r="F651" s="172" t="str">
        <f t="shared" si="30"/>
        <v>2012-13</v>
      </c>
      <c r="G651" s="68"/>
      <c r="H651" s="167" t="s">
        <v>279</v>
      </c>
      <c r="I651" s="173">
        <v>89592.114709699614</v>
      </c>
      <c r="J651" s="168">
        <f>IFERROR(MIN('MP Calculations'!$E$30/I651,1),"-")</f>
        <v>0.31014580161562261</v>
      </c>
      <c r="K651" s="12"/>
      <c r="L651" s="159">
        <v>7.7637609999999997</v>
      </c>
      <c r="M651" s="159" t="s">
        <v>408</v>
      </c>
      <c r="N651" s="159">
        <v>940</v>
      </c>
      <c r="O651" s="185">
        <f t="shared" si="31"/>
        <v>7297.93534</v>
      </c>
      <c r="P651" s="215">
        <f t="shared" si="32"/>
        <v>2263.4240061632813</v>
      </c>
      <c r="Q651" s="215" cm="1">
        <f t="array" ref="Q651">IF(P651="-",0,P651/(1+'General inputs'!$H$32)^IFERROR(INDEX('MP Calculations'!$C$40:$C$130,MATCH(F651,'MP Calculations'!$D$40:$D$130,0),0),-1))</f>
        <v>3415.4120583439358</v>
      </c>
    </row>
    <row r="652" spans="3:17" x14ac:dyDescent="0.25">
      <c r="C652" s="159"/>
      <c r="D652" s="165" t="s">
        <v>353</v>
      </c>
      <c r="E652" s="161">
        <v>41261</v>
      </c>
      <c r="F652" s="172" t="str">
        <f t="shared" si="30"/>
        <v>2012-13</v>
      </c>
      <c r="G652" s="68"/>
      <c r="H652" s="167" t="s">
        <v>279</v>
      </c>
      <c r="I652" s="173">
        <v>89592.114709699614</v>
      </c>
      <c r="J652" s="168">
        <f>IFERROR(MIN('MP Calculations'!$E$30/I652,1),"-")</f>
        <v>0.31014580161562261</v>
      </c>
      <c r="K652" s="12"/>
      <c r="L652" s="159">
        <v>1.0569980000000001</v>
      </c>
      <c r="M652" s="159" t="s">
        <v>408</v>
      </c>
      <c r="N652" s="159">
        <v>940</v>
      </c>
      <c r="O652" s="185">
        <f t="shared" si="31"/>
        <v>993.57812000000013</v>
      </c>
      <c r="P652" s="215">
        <f t="shared" si="32"/>
        <v>308.15408249514331</v>
      </c>
      <c r="Q652" s="215" cm="1">
        <f t="array" ref="Q652">IF(P652="-",0,P652/(1+'General inputs'!$H$32)^IFERROR(INDEX('MP Calculations'!$C$40:$C$130,MATCH(F652,'MP Calculations'!$D$40:$D$130,0),0),-1))</f>
        <v>464.99160842862426</v>
      </c>
    </row>
    <row r="653" spans="3:17" x14ac:dyDescent="0.25">
      <c r="C653" s="159"/>
      <c r="D653" s="165" t="s">
        <v>353</v>
      </c>
      <c r="E653" s="161">
        <v>41261</v>
      </c>
      <c r="F653" s="172" t="str">
        <f t="shared" si="30"/>
        <v>2012-13</v>
      </c>
      <c r="G653" s="68"/>
      <c r="H653" s="167" t="s">
        <v>279</v>
      </c>
      <c r="I653" s="173">
        <v>89592.114709699614</v>
      </c>
      <c r="J653" s="168">
        <f>IFERROR(MIN('MP Calculations'!$E$30/I653,1),"-")</f>
        <v>0.31014580161562261</v>
      </c>
      <c r="K653" s="12"/>
      <c r="L653" s="159">
        <v>8.1205610000000004</v>
      </c>
      <c r="M653" s="159" t="s">
        <v>408</v>
      </c>
      <c r="N653" s="159">
        <v>940</v>
      </c>
      <c r="O653" s="185">
        <f t="shared" si="31"/>
        <v>7633.3273400000007</v>
      </c>
      <c r="P653" s="215">
        <f t="shared" si="32"/>
        <v>2367.4444268587486</v>
      </c>
      <c r="Q653" s="215" cm="1">
        <f t="array" ref="Q653">IF(P653="-",0,P653/(1+'General inputs'!$H$32)^IFERROR(INDEX('MP Calculations'!$C$40:$C$130,MATCH(F653,'MP Calculations'!$D$40:$D$130,0),0),-1))</f>
        <v>3572.374517958177</v>
      </c>
    </row>
    <row r="654" spans="3:17" x14ac:dyDescent="0.25">
      <c r="C654" s="159"/>
      <c r="D654" s="165" t="s">
        <v>285</v>
      </c>
      <c r="E654" s="161">
        <v>41261</v>
      </c>
      <c r="F654" s="172" t="str">
        <f t="shared" si="30"/>
        <v>2012-13</v>
      </c>
      <c r="G654" s="68"/>
      <c r="H654" s="167" t="s">
        <v>279</v>
      </c>
      <c r="I654" s="173">
        <v>89592.114709699614</v>
      </c>
      <c r="J654" s="168">
        <f>IFERROR(MIN('MP Calculations'!$E$30/I654,1),"-")</f>
        <v>0.31014580161562261</v>
      </c>
      <c r="K654" s="12"/>
      <c r="L654" s="159">
        <v>1.271665</v>
      </c>
      <c r="M654" s="159" t="s">
        <v>408</v>
      </c>
      <c r="N654" s="159">
        <v>1708</v>
      </c>
      <c r="O654" s="185">
        <f t="shared" si="31"/>
        <v>2172.0038199999999</v>
      </c>
      <c r="P654" s="215">
        <f t="shared" si="32"/>
        <v>673.63786586609444</v>
      </c>
      <c r="Q654" s="215" cm="1">
        <f t="array" ref="Q654">IF(P654="-",0,P654/(1+'General inputs'!$H$32)^IFERROR(INDEX('MP Calculations'!$C$40:$C$130,MATCH(F654,'MP Calculations'!$D$40:$D$130,0),0),-1))</f>
        <v>1016.4913351502908</v>
      </c>
    </row>
    <row r="655" spans="3:17" x14ac:dyDescent="0.25">
      <c r="C655" s="159"/>
      <c r="D655" s="165" t="s">
        <v>285</v>
      </c>
      <c r="E655" s="161">
        <v>41261</v>
      </c>
      <c r="F655" s="172" t="str">
        <f t="shared" si="30"/>
        <v>2012-13</v>
      </c>
      <c r="G655" s="68"/>
      <c r="H655" s="167" t="s">
        <v>279</v>
      </c>
      <c r="I655" s="173">
        <v>89592.114709699614</v>
      </c>
      <c r="J655" s="168">
        <f>IFERROR(MIN('MP Calculations'!$E$30/I655,1),"-")</f>
        <v>0.31014580161562261</v>
      </c>
      <c r="K655" s="12"/>
      <c r="L655" s="159">
        <v>1.6735249999999999</v>
      </c>
      <c r="M655" s="159" t="s">
        <v>408</v>
      </c>
      <c r="N655" s="159">
        <v>1708</v>
      </c>
      <c r="O655" s="185">
        <f t="shared" si="31"/>
        <v>2858.3806999999997</v>
      </c>
      <c r="P655" s="215">
        <f t="shared" si="32"/>
        <v>886.51477352412439</v>
      </c>
      <c r="Q655" s="215" cm="1">
        <f t="array" ref="Q655">IF(P655="-",0,P655/(1+'General inputs'!$H$32)^IFERROR(INDEX('MP Calculations'!$C$40:$C$130,MATCH(F655,'MP Calculations'!$D$40:$D$130,0),0),-1))</f>
        <v>1337.713675895295</v>
      </c>
    </row>
    <row r="656" spans="3:17" x14ac:dyDescent="0.25">
      <c r="C656" s="159"/>
      <c r="D656" s="165" t="s">
        <v>353</v>
      </c>
      <c r="E656" s="161">
        <v>41261</v>
      </c>
      <c r="F656" s="172" t="str">
        <f t="shared" si="30"/>
        <v>2012-13</v>
      </c>
      <c r="G656" s="68"/>
      <c r="H656" s="167" t="s">
        <v>279</v>
      </c>
      <c r="I656" s="173">
        <v>89592.114709699614</v>
      </c>
      <c r="J656" s="168">
        <f>IFERROR(MIN('MP Calculations'!$E$30/I656,1),"-")</f>
        <v>0.31014580161562261</v>
      </c>
      <c r="K656" s="12"/>
      <c r="L656" s="159">
        <v>4.3404740000000004</v>
      </c>
      <c r="M656" s="159" t="s">
        <v>408</v>
      </c>
      <c r="N656" s="159">
        <v>940</v>
      </c>
      <c r="O656" s="185">
        <f t="shared" si="31"/>
        <v>4080.0455600000005</v>
      </c>
      <c r="P656" s="215">
        <f t="shared" si="32"/>
        <v>1265.4090008344619</v>
      </c>
      <c r="Q656" s="215" cm="1">
        <f t="array" ref="Q656">IF(P656="-",0,P656/(1+'General inputs'!$H$32)^IFERROR(INDEX('MP Calculations'!$C$40:$C$130,MATCH(F656,'MP Calculations'!$D$40:$D$130,0),0),-1))</f>
        <v>1909.4492010416523</v>
      </c>
    </row>
    <row r="657" spans="3:17" x14ac:dyDescent="0.25">
      <c r="C657" s="159"/>
      <c r="D657" s="165" t="s">
        <v>353</v>
      </c>
      <c r="E657" s="161">
        <v>41261</v>
      </c>
      <c r="F657" s="172" t="str">
        <f t="shared" si="30"/>
        <v>2012-13</v>
      </c>
      <c r="G657" s="68"/>
      <c r="H657" s="167" t="s">
        <v>279</v>
      </c>
      <c r="I657" s="173">
        <v>89592.114709699614</v>
      </c>
      <c r="J657" s="168">
        <f>IFERROR(MIN('MP Calculations'!$E$30/I657,1),"-")</f>
        <v>0.31014580161562261</v>
      </c>
      <c r="K657" s="12"/>
      <c r="L657" s="159">
        <v>0.48759200000000003</v>
      </c>
      <c r="M657" s="159" t="s">
        <v>408</v>
      </c>
      <c r="N657" s="159">
        <v>940</v>
      </c>
      <c r="O657" s="185">
        <f t="shared" si="31"/>
        <v>458.33648000000005</v>
      </c>
      <c r="P657" s="215">
        <f t="shared" si="32"/>
        <v>142.15113499928279</v>
      </c>
      <c r="Q657" s="215" cm="1">
        <f t="array" ref="Q657">IF(P657="-",0,P657/(1+'General inputs'!$H$32)^IFERROR(INDEX('MP Calculations'!$C$40:$C$130,MATCH(F657,'MP Calculations'!$D$40:$D$130,0),0),-1))</f>
        <v>214.5001110096043</v>
      </c>
    </row>
    <row r="658" spans="3:17" x14ac:dyDescent="0.25">
      <c r="C658" s="159"/>
      <c r="D658" s="165" t="s">
        <v>285</v>
      </c>
      <c r="E658" s="161">
        <v>41261</v>
      </c>
      <c r="F658" s="172" t="str">
        <f t="shared" si="30"/>
        <v>2012-13</v>
      </c>
      <c r="G658" s="68"/>
      <c r="H658" s="167" t="s">
        <v>279</v>
      </c>
      <c r="I658" s="173">
        <v>89592.114709699614</v>
      </c>
      <c r="J658" s="168">
        <f>IFERROR(MIN('MP Calculations'!$E$30/I658,1),"-")</f>
        <v>0.31014580161562261</v>
      </c>
      <c r="K658" s="12"/>
      <c r="L658" s="159">
        <v>25.560855</v>
      </c>
      <c r="M658" s="159" t="s">
        <v>408</v>
      </c>
      <c r="N658" s="159">
        <v>1708</v>
      </c>
      <c r="O658" s="185">
        <f t="shared" si="31"/>
        <v>43657.940340000001</v>
      </c>
      <c r="P658" s="215">
        <f t="shared" si="32"/>
        <v>13540.326903636327</v>
      </c>
      <c r="Q658" s="215" cm="1">
        <f t="array" ref="Q658">IF(P658="-",0,P658/(1+'General inputs'!$H$32)^IFERROR(INDEX('MP Calculations'!$C$40:$C$130,MATCH(F658,'MP Calculations'!$D$40:$D$130,0),0),-1))</f>
        <v>20431.786379693542</v>
      </c>
    </row>
    <row r="659" spans="3:17" x14ac:dyDescent="0.25">
      <c r="C659" s="159"/>
      <c r="D659" s="165" t="s">
        <v>285</v>
      </c>
      <c r="E659" s="161">
        <v>41261</v>
      </c>
      <c r="F659" s="172" t="str">
        <f t="shared" si="30"/>
        <v>2012-13</v>
      </c>
      <c r="G659" s="68"/>
      <c r="H659" s="167" t="s">
        <v>279</v>
      </c>
      <c r="I659" s="173">
        <v>89592.114709699614</v>
      </c>
      <c r="J659" s="168">
        <f>IFERROR(MIN('MP Calculations'!$E$30/I659,1),"-")</f>
        <v>0.31014580161562261</v>
      </c>
      <c r="K659" s="12"/>
      <c r="L659" s="159">
        <v>1.2762039999999999</v>
      </c>
      <c r="M659" s="159" t="s">
        <v>408</v>
      </c>
      <c r="N659" s="159">
        <v>1708</v>
      </c>
      <c r="O659" s="185">
        <f t="shared" si="31"/>
        <v>2179.7564319999997</v>
      </c>
      <c r="P659" s="215">
        <f t="shared" si="32"/>
        <v>676.0423059294493</v>
      </c>
      <c r="Q659" s="215" cm="1">
        <f t="array" ref="Q659">IF(P659="-",0,P659/(1+'General inputs'!$H$32)^IFERROR(INDEX('MP Calculations'!$C$40:$C$130,MATCH(F659,'MP Calculations'!$D$40:$D$130,0),0),-1))</f>
        <v>1020.1195345347569</v>
      </c>
    </row>
    <row r="660" spans="3:17" x14ac:dyDescent="0.25">
      <c r="C660" s="159"/>
      <c r="D660" s="165" t="s">
        <v>285</v>
      </c>
      <c r="E660" s="161">
        <v>41261</v>
      </c>
      <c r="F660" s="172" t="str">
        <f t="shared" si="30"/>
        <v>2012-13</v>
      </c>
      <c r="G660" s="68"/>
      <c r="H660" s="167" t="s">
        <v>279</v>
      </c>
      <c r="I660" s="173">
        <v>89592.114709699614</v>
      </c>
      <c r="J660" s="168">
        <f>IFERROR(MIN('MP Calculations'!$E$30/I660,1),"-")</f>
        <v>0.31014580161562261</v>
      </c>
      <c r="K660" s="12"/>
      <c r="L660" s="159">
        <v>7.1254010000000001</v>
      </c>
      <c r="M660" s="159" t="s">
        <v>408</v>
      </c>
      <c r="N660" s="159">
        <v>1708</v>
      </c>
      <c r="O660" s="185">
        <f t="shared" si="31"/>
        <v>12170.184907999999</v>
      </c>
      <c r="P660" s="215">
        <f t="shared" si="32"/>
        <v>3774.5317541020122</v>
      </c>
      <c r="Q660" s="215" cm="1">
        <f t="array" ref="Q660">IF(P660="-",0,P660/(1+'General inputs'!$H$32)^IFERROR(INDEX('MP Calculations'!$C$40:$C$130,MATCH(F660,'MP Calculations'!$D$40:$D$130,0),0),-1))</f>
        <v>5695.6103816423483</v>
      </c>
    </row>
    <row r="661" spans="3:17" x14ac:dyDescent="0.25">
      <c r="C661" s="159"/>
      <c r="D661" s="165" t="s">
        <v>295</v>
      </c>
      <c r="E661" s="161">
        <v>41261</v>
      </c>
      <c r="F661" s="172" t="str">
        <f t="shared" si="30"/>
        <v>2012-13</v>
      </c>
      <c r="G661" s="68"/>
      <c r="H661" s="167" t="s">
        <v>279</v>
      </c>
      <c r="I661" s="173">
        <v>89592.114709699614</v>
      </c>
      <c r="J661" s="168">
        <f>IFERROR(MIN('MP Calculations'!$E$30/I661,1),"-")</f>
        <v>0.31014580161562261</v>
      </c>
      <c r="K661" s="12"/>
      <c r="L661" s="159">
        <v>10.760673000000001</v>
      </c>
      <c r="M661" s="159" t="s">
        <v>408</v>
      </c>
      <c r="N661" s="159">
        <v>236</v>
      </c>
      <c r="O661" s="185">
        <f t="shared" si="31"/>
        <v>2539.5188280000002</v>
      </c>
      <c r="P661" s="215">
        <f t="shared" si="32"/>
        <v>787.62110262802651</v>
      </c>
      <c r="Q661" s="215" cm="1">
        <f t="array" ref="Q661">IF(P661="-",0,P661/(1+'General inputs'!$H$32)^IFERROR(INDEX('MP Calculations'!$C$40:$C$130,MATCH(F661,'MP Calculations'!$D$40:$D$130,0),0),-1))</f>
        <v>1188.4872670771924</v>
      </c>
    </row>
    <row r="662" spans="3:17" x14ac:dyDescent="0.25">
      <c r="C662" s="159"/>
      <c r="D662" s="165" t="s">
        <v>285</v>
      </c>
      <c r="E662" s="161">
        <v>41261</v>
      </c>
      <c r="F662" s="172" t="str">
        <f t="shared" ref="F662:F725" si="33">IF(E662="","-",IF(OR(E662&lt;$E$15,E662&gt;$E$16),"ERROR - date outside of range",IF(MONTH(E662)&gt;=7,YEAR(E662)&amp;"-"&amp;IF(YEAR(E662)=1999,"00",IF(AND(YEAR(E662)&gt;=2000,YEAR(E662)&lt;2009),"0","")&amp;RIGHT(YEAR(E662),2)+1),RIGHT(YEAR(E662),4)-1&amp;"-"&amp;RIGHT(YEAR(E662),2))))</f>
        <v>2012-13</v>
      </c>
      <c r="G662" s="68"/>
      <c r="H662" s="167" t="s">
        <v>279</v>
      </c>
      <c r="I662" s="173">
        <v>89592.114709699614</v>
      </c>
      <c r="J662" s="168">
        <f>IFERROR(MIN('MP Calculations'!$E$30/I662,1),"-")</f>
        <v>0.31014580161562261</v>
      </c>
      <c r="K662" s="12"/>
      <c r="L662" s="159">
        <v>6.3645459999999998</v>
      </c>
      <c r="M662" s="159" t="s">
        <v>408</v>
      </c>
      <c r="N662" s="159">
        <v>1708</v>
      </c>
      <c r="O662" s="185">
        <f t="shared" ref="O662:O725" si="34">IF(N662="","-",L662*N662)</f>
        <v>10870.644568</v>
      </c>
      <c r="P662" s="215">
        <f t="shared" ref="P662:P725" si="35">IF(O662="-","-",IF(OR(E662&lt;$E$15,E662&gt;$E$16),0,O662*J662))</f>
        <v>3371.4847736208735</v>
      </c>
      <c r="Q662" s="215" cm="1">
        <f t="array" ref="Q662">IF(P662="-",0,P662/(1+'General inputs'!$H$32)^IFERROR(INDEX('MP Calculations'!$C$40:$C$130,MATCH(F662,'MP Calculations'!$D$40:$D$130,0),0),-1))</f>
        <v>5087.4293632092122</v>
      </c>
    </row>
    <row r="663" spans="3:17" x14ac:dyDescent="0.25">
      <c r="C663" s="159"/>
      <c r="D663" s="165" t="s">
        <v>295</v>
      </c>
      <c r="E663" s="161">
        <v>41261</v>
      </c>
      <c r="F663" s="172" t="str">
        <f t="shared" si="33"/>
        <v>2012-13</v>
      </c>
      <c r="G663" s="68"/>
      <c r="H663" s="167" t="s">
        <v>279</v>
      </c>
      <c r="I663" s="173">
        <v>89592.114709699614</v>
      </c>
      <c r="J663" s="168">
        <f>IFERROR(MIN('MP Calculations'!$E$30/I663,1),"-")</f>
        <v>0.31014580161562261</v>
      </c>
      <c r="K663" s="12"/>
      <c r="L663" s="159">
        <v>11.028304</v>
      </c>
      <c r="M663" s="159" t="s">
        <v>408</v>
      </c>
      <c r="N663" s="159">
        <v>236</v>
      </c>
      <c r="O663" s="185">
        <f t="shared" si="34"/>
        <v>2602.679744</v>
      </c>
      <c r="P663" s="215">
        <f t="shared" si="35"/>
        <v>807.21019555162343</v>
      </c>
      <c r="Q663" s="215" cm="1">
        <f t="array" ref="Q663">IF(P663="-",0,P663/(1+'General inputs'!$H$32)^IFERROR(INDEX('MP Calculations'!$C$40:$C$130,MATCH(F663,'MP Calculations'!$D$40:$D$130,0),0),-1))</f>
        <v>1218.0463881261394</v>
      </c>
    </row>
    <row r="664" spans="3:17" x14ac:dyDescent="0.25">
      <c r="C664" s="159"/>
      <c r="D664" s="165" t="s">
        <v>739</v>
      </c>
      <c r="E664" s="161">
        <v>41456</v>
      </c>
      <c r="F664" s="172" t="str">
        <f t="shared" si="33"/>
        <v>2013-14</v>
      </c>
      <c r="G664" s="68"/>
      <c r="H664" s="167" t="s">
        <v>279</v>
      </c>
      <c r="I664" s="173">
        <v>89592.114709699614</v>
      </c>
      <c r="J664" s="168">
        <f>IFERROR(MIN('MP Calculations'!$E$30/I664,1),"-")</f>
        <v>0.31014580161562261</v>
      </c>
      <c r="K664" s="12"/>
      <c r="L664" s="159">
        <v>1</v>
      </c>
      <c r="M664" s="159" t="s">
        <v>409</v>
      </c>
      <c r="N664" s="159">
        <v>173157.08</v>
      </c>
      <c r="O664" s="185">
        <f t="shared" si="34"/>
        <v>173157.08</v>
      </c>
      <c r="P664" s="215">
        <f t="shared" si="35"/>
        <v>53703.941382020486</v>
      </c>
      <c r="Q664" s="215" cm="1">
        <f t="array" ref="Q664">IF(P664="-",0,P664/(1+'General inputs'!$H$32)^IFERROR(INDEX('MP Calculations'!$C$40:$C$130,MATCH(F664,'MP Calculations'!$D$40:$D$130,0),0),-1))</f>
        <v>77770.632459972767</v>
      </c>
    </row>
    <row r="665" spans="3:17" x14ac:dyDescent="0.25">
      <c r="C665" s="159"/>
      <c r="D665" s="165" t="s">
        <v>284</v>
      </c>
      <c r="E665" s="161">
        <v>41520</v>
      </c>
      <c r="F665" s="172" t="str">
        <f t="shared" si="33"/>
        <v>2013-14</v>
      </c>
      <c r="G665" s="68"/>
      <c r="H665" s="167" t="s">
        <v>279</v>
      </c>
      <c r="I665" s="173">
        <v>89592.114709699614</v>
      </c>
      <c r="J665" s="168">
        <f>IFERROR(MIN('MP Calculations'!$E$30/I665,1),"-")</f>
        <v>0.31014580161562261</v>
      </c>
      <c r="K665" s="12"/>
      <c r="L665" s="159">
        <v>17.692577</v>
      </c>
      <c r="M665" s="159" t="s">
        <v>408</v>
      </c>
      <c r="N665" s="159">
        <v>405</v>
      </c>
      <c r="O665" s="185">
        <f t="shared" si="34"/>
        <v>7165.4936850000004</v>
      </c>
      <c r="P665" s="215">
        <f t="shared" si="35"/>
        <v>2222.3477829060066</v>
      </c>
      <c r="Q665" s="215" cm="1">
        <f t="array" ref="Q665">IF(P665="-",0,P665/(1+'General inputs'!$H$32)^IFERROR(INDEX('MP Calculations'!$C$40:$C$130,MATCH(F665,'MP Calculations'!$D$40:$D$130,0),0),-1))</f>
        <v>3218.2627229010268</v>
      </c>
    </row>
    <row r="666" spans="3:17" x14ac:dyDescent="0.25">
      <c r="C666" s="159"/>
      <c r="D666" s="165" t="s">
        <v>740</v>
      </c>
      <c r="E666" s="161">
        <v>41577</v>
      </c>
      <c r="F666" s="172" t="str">
        <f t="shared" si="33"/>
        <v>2013-14</v>
      </c>
      <c r="G666" s="68"/>
      <c r="H666" s="167" t="s">
        <v>279</v>
      </c>
      <c r="I666" s="173">
        <v>89592.114709699614</v>
      </c>
      <c r="J666" s="168">
        <f>IFERROR(MIN('MP Calculations'!$E$30/I666,1),"-")</f>
        <v>0.31014580161562261</v>
      </c>
      <c r="K666" s="12"/>
      <c r="L666" s="159">
        <v>1</v>
      </c>
      <c r="M666" s="159" t="s">
        <v>409</v>
      </c>
      <c r="N666" s="159">
        <v>638.98</v>
      </c>
      <c r="O666" s="185">
        <f t="shared" si="34"/>
        <v>638.98</v>
      </c>
      <c r="P666" s="215">
        <f t="shared" si="35"/>
        <v>198.17696431635054</v>
      </c>
      <c r="Q666" s="215" cm="1">
        <f t="array" ref="Q666">IF(P666="-",0,P666/(1+'General inputs'!$H$32)^IFERROR(INDEX('MP Calculations'!$C$40:$C$130,MATCH(F666,'MP Calculations'!$D$40:$D$130,0),0),-1))</f>
        <v>286.98727611526715</v>
      </c>
    </row>
    <row r="667" spans="3:17" x14ac:dyDescent="0.25">
      <c r="C667" s="159"/>
      <c r="D667" s="165" t="s">
        <v>741</v>
      </c>
      <c r="E667" s="161">
        <v>41640</v>
      </c>
      <c r="F667" s="172" t="str">
        <f t="shared" si="33"/>
        <v>2013-14</v>
      </c>
      <c r="G667" s="68"/>
      <c r="H667" s="167" t="s">
        <v>279</v>
      </c>
      <c r="I667" s="173">
        <v>89592.114709699614</v>
      </c>
      <c r="J667" s="168">
        <f>IFERROR(MIN('MP Calculations'!$E$30/I667,1),"-")</f>
        <v>0.31014580161562261</v>
      </c>
      <c r="K667" s="12"/>
      <c r="L667" s="159">
        <v>1</v>
      </c>
      <c r="M667" s="159" t="s">
        <v>409</v>
      </c>
      <c r="N667" s="159">
        <v>2198.08</v>
      </c>
      <c r="O667" s="185">
        <f t="shared" si="34"/>
        <v>2198.08</v>
      </c>
      <c r="P667" s="215">
        <f t="shared" si="35"/>
        <v>681.7252836152677</v>
      </c>
      <c r="Q667" s="215" cm="1">
        <f t="array" ref="Q667">IF(P667="-",0,P667/(1+'General inputs'!$H$32)^IFERROR(INDEX('MP Calculations'!$C$40:$C$130,MATCH(F667,'MP Calculations'!$D$40:$D$130,0),0),-1))</f>
        <v>987.23119954215531</v>
      </c>
    </row>
    <row r="668" spans="3:17" x14ac:dyDescent="0.25">
      <c r="C668" s="159"/>
      <c r="D668" s="165" t="s">
        <v>742</v>
      </c>
      <c r="E668" s="161">
        <v>41667</v>
      </c>
      <c r="F668" s="172" t="str">
        <f t="shared" si="33"/>
        <v>2013-14</v>
      </c>
      <c r="G668" s="68"/>
      <c r="H668" s="167" t="s">
        <v>279</v>
      </c>
      <c r="I668" s="173">
        <v>89592.114709699614</v>
      </c>
      <c r="J668" s="168">
        <f>IFERROR(MIN('MP Calculations'!$E$30/I668,1),"-")</f>
        <v>0.31014580161562261</v>
      </c>
      <c r="K668" s="12"/>
      <c r="L668" s="159">
        <v>1</v>
      </c>
      <c r="M668" s="159" t="s">
        <v>409</v>
      </c>
      <c r="N668" s="159">
        <v>29062.69</v>
      </c>
      <c r="O668" s="185">
        <f t="shared" si="34"/>
        <v>29062.69</v>
      </c>
      <c r="P668" s="215">
        <f t="shared" si="35"/>
        <v>9013.6712871563377</v>
      </c>
      <c r="Q668" s="215" cm="1">
        <f t="array" ref="Q668">IF(P668="-",0,P668/(1+'General inputs'!$H$32)^IFERROR(INDEX('MP Calculations'!$C$40:$C$130,MATCH(F668,'MP Calculations'!$D$40:$D$130,0),0),-1))</f>
        <v>13053.025508908593</v>
      </c>
    </row>
    <row r="669" spans="3:17" x14ac:dyDescent="0.25">
      <c r="C669" s="159"/>
      <c r="D669" s="165" t="s">
        <v>283</v>
      </c>
      <c r="E669" s="161">
        <v>41669</v>
      </c>
      <c r="F669" s="172" t="str">
        <f t="shared" si="33"/>
        <v>2013-14</v>
      </c>
      <c r="G669" s="68"/>
      <c r="H669" s="167" t="s">
        <v>279</v>
      </c>
      <c r="I669" s="173">
        <v>89592.114709699614</v>
      </c>
      <c r="J669" s="168">
        <f>IFERROR(MIN('MP Calculations'!$E$30/I669,1),"-")</f>
        <v>0.31014580161562261</v>
      </c>
      <c r="K669" s="12"/>
      <c r="L669" s="159">
        <v>5.7999640000000001</v>
      </c>
      <c r="M669" s="159" t="s">
        <v>408</v>
      </c>
      <c r="N669" s="159">
        <v>622</v>
      </c>
      <c r="O669" s="185">
        <f t="shared" si="34"/>
        <v>3607.5776080000001</v>
      </c>
      <c r="P669" s="215">
        <f t="shared" si="35"/>
        <v>1118.8750491237304</v>
      </c>
      <c r="Q669" s="215" cm="1">
        <f t="array" ref="Q669">IF(P669="-",0,P669/(1+'General inputs'!$H$32)^IFERROR(INDEX('MP Calculations'!$C$40:$C$130,MATCH(F669,'MP Calculations'!$D$40:$D$130,0),0),-1))</f>
        <v>1620.283688213013</v>
      </c>
    </row>
    <row r="670" spans="3:17" x14ac:dyDescent="0.25">
      <c r="C670" s="159"/>
      <c r="D670" s="165" t="s">
        <v>743</v>
      </c>
      <c r="E670" s="161">
        <v>41672</v>
      </c>
      <c r="F670" s="172" t="str">
        <f t="shared" si="33"/>
        <v>2013-14</v>
      </c>
      <c r="G670" s="68"/>
      <c r="H670" s="167" t="s">
        <v>279</v>
      </c>
      <c r="I670" s="173">
        <v>89592.114709699614</v>
      </c>
      <c r="J670" s="168">
        <f>IFERROR(MIN('MP Calculations'!$E$30/I670,1),"-")</f>
        <v>0.31014580161562261</v>
      </c>
      <c r="K670" s="12"/>
      <c r="L670" s="159">
        <v>1</v>
      </c>
      <c r="M670" s="159" t="s">
        <v>409</v>
      </c>
      <c r="N670" s="159">
        <v>1809</v>
      </c>
      <c r="O670" s="185">
        <f t="shared" si="34"/>
        <v>1809</v>
      </c>
      <c r="P670" s="215">
        <f t="shared" si="35"/>
        <v>561.0537551226613</v>
      </c>
      <c r="Q670" s="215" cm="1">
        <f t="array" ref="Q670">IF(P670="-",0,P670/(1+'General inputs'!$H$32)^IFERROR(INDEX('MP Calculations'!$C$40:$C$130,MATCH(F670,'MP Calculations'!$D$40:$D$130,0),0),-1))</f>
        <v>812.48236641603535</v>
      </c>
    </row>
    <row r="671" spans="3:17" x14ac:dyDescent="0.25">
      <c r="C671" s="159"/>
      <c r="D671" s="165" t="s">
        <v>744</v>
      </c>
      <c r="E671" s="161">
        <v>41716</v>
      </c>
      <c r="F671" s="172" t="str">
        <f t="shared" si="33"/>
        <v>2013-14</v>
      </c>
      <c r="G671" s="68"/>
      <c r="H671" s="167" t="s">
        <v>279</v>
      </c>
      <c r="I671" s="173">
        <v>89592.114709699614</v>
      </c>
      <c r="J671" s="168">
        <f>IFERROR(MIN('MP Calculations'!$E$30/I671,1),"-")</f>
        <v>0.31014580161562261</v>
      </c>
      <c r="K671" s="12"/>
      <c r="L671" s="159">
        <v>1</v>
      </c>
      <c r="M671" s="159" t="s">
        <v>409</v>
      </c>
      <c r="N671" s="159">
        <v>820.07</v>
      </c>
      <c r="O671" s="185">
        <f t="shared" si="34"/>
        <v>820.07</v>
      </c>
      <c r="P671" s="215">
        <f t="shared" si="35"/>
        <v>254.34126753092366</v>
      </c>
      <c r="Q671" s="215" cm="1">
        <f t="array" ref="Q671">IF(P671="-",0,P671/(1+'General inputs'!$H$32)^IFERROR(INDEX('MP Calculations'!$C$40:$C$130,MATCH(F671,'MP Calculations'!$D$40:$D$130,0),0),-1))</f>
        <v>368.32084810768282</v>
      </c>
    </row>
    <row r="672" spans="3:17" x14ac:dyDescent="0.25">
      <c r="C672" s="159"/>
      <c r="D672" s="165" t="s">
        <v>745</v>
      </c>
      <c r="E672" s="161">
        <v>41722</v>
      </c>
      <c r="F672" s="172" t="str">
        <f t="shared" si="33"/>
        <v>2013-14</v>
      </c>
      <c r="G672" s="68"/>
      <c r="H672" s="167" t="s">
        <v>279</v>
      </c>
      <c r="I672" s="173">
        <v>89592.114709699614</v>
      </c>
      <c r="J672" s="168">
        <f>IFERROR(MIN('MP Calculations'!$E$30/I672,1),"-")</f>
        <v>0.31014580161562261</v>
      </c>
      <c r="K672" s="12"/>
      <c r="L672" s="159">
        <v>1</v>
      </c>
      <c r="M672" s="159" t="s">
        <v>409</v>
      </c>
      <c r="N672" s="159">
        <v>2661.65</v>
      </c>
      <c r="O672" s="185">
        <f t="shared" si="34"/>
        <v>2661.65</v>
      </c>
      <c r="P672" s="215">
        <f t="shared" si="35"/>
        <v>825.49957287022198</v>
      </c>
      <c r="Q672" s="215" cm="1">
        <f t="array" ref="Q672">IF(P672="-",0,P672/(1+'General inputs'!$H$32)^IFERROR(INDEX('MP Calculations'!$C$40:$C$130,MATCH(F672,'MP Calculations'!$D$40:$D$130,0),0),-1))</f>
        <v>1195.4359815208627</v>
      </c>
    </row>
    <row r="673" spans="3:17" x14ac:dyDescent="0.25">
      <c r="C673" s="159"/>
      <c r="D673" s="165" t="s">
        <v>292</v>
      </c>
      <c r="E673" s="161">
        <v>41730</v>
      </c>
      <c r="F673" s="172" t="str">
        <f t="shared" si="33"/>
        <v>2013-14</v>
      </c>
      <c r="G673" s="68"/>
      <c r="H673" s="167" t="s">
        <v>279</v>
      </c>
      <c r="I673" s="173">
        <v>89592.114709699614</v>
      </c>
      <c r="J673" s="168">
        <f>IFERROR(MIN('MP Calculations'!$E$30/I673,1),"-")</f>
        <v>0.31014580161562261</v>
      </c>
      <c r="K673" s="12"/>
      <c r="L673" s="159">
        <v>0.33730399999999999</v>
      </c>
      <c r="M673" s="159" t="s">
        <v>408</v>
      </c>
      <c r="N673" s="159">
        <v>726</v>
      </c>
      <c r="O673" s="185">
        <f t="shared" si="34"/>
        <v>244.88270399999999</v>
      </c>
      <c r="P673" s="215">
        <f t="shared" si="35"/>
        <v>75.949342533881236</v>
      </c>
      <c r="Q673" s="215" cm="1">
        <f t="array" ref="Q673">IF(P673="-",0,P673/(1+'General inputs'!$H$32)^IFERROR(INDEX('MP Calculations'!$C$40:$C$130,MATCH(F673,'MP Calculations'!$D$40:$D$130,0),0),-1))</f>
        <v>109.98500765078913</v>
      </c>
    </row>
    <row r="674" spans="3:17" x14ac:dyDescent="0.25">
      <c r="C674" s="159"/>
      <c r="D674" s="165" t="s">
        <v>292</v>
      </c>
      <c r="E674" s="161">
        <v>41730</v>
      </c>
      <c r="F674" s="172" t="str">
        <f t="shared" si="33"/>
        <v>2013-14</v>
      </c>
      <c r="G674" s="68"/>
      <c r="H674" s="167" t="s">
        <v>279</v>
      </c>
      <c r="I674" s="173">
        <v>89592.114709699614</v>
      </c>
      <c r="J674" s="168">
        <f>IFERROR(MIN('MP Calculations'!$E$30/I674,1),"-")</f>
        <v>0.31014580161562261</v>
      </c>
      <c r="K674" s="12"/>
      <c r="L674" s="159">
        <v>2.939479</v>
      </c>
      <c r="M674" s="159" t="s">
        <v>408</v>
      </c>
      <c r="N674" s="159">
        <v>726</v>
      </c>
      <c r="O674" s="185">
        <f t="shared" si="34"/>
        <v>2134.0617539999998</v>
      </c>
      <c r="P674" s="215">
        <f t="shared" si="35"/>
        <v>661.87029339157152</v>
      </c>
      <c r="Q674" s="215" cm="1">
        <f t="array" ref="Q674">IF(P674="-",0,P674/(1+'General inputs'!$H$32)^IFERROR(INDEX('MP Calculations'!$C$40:$C$130,MATCH(F674,'MP Calculations'!$D$40:$D$130,0),0),-1))</f>
        <v>958.47846543276671</v>
      </c>
    </row>
    <row r="675" spans="3:17" x14ac:dyDescent="0.25">
      <c r="C675" s="159"/>
      <c r="D675" s="165" t="s">
        <v>292</v>
      </c>
      <c r="E675" s="161">
        <v>41730</v>
      </c>
      <c r="F675" s="172" t="str">
        <f t="shared" si="33"/>
        <v>2013-14</v>
      </c>
      <c r="G675" s="68"/>
      <c r="H675" s="167" t="s">
        <v>279</v>
      </c>
      <c r="I675" s="173">
        <v>89592.114709699614</v>
      </c>
      <c r="J675" s="168">
        <f>IFERROR(MIN('MP Calculations'!$E$30/I675,1),"-")</f>
        <v>0.31014580161562261</v>
      </c>
      <c r="K675" s="12"/>
      <c r="L675" s="159">
        <v>0.61335899999999999</v>
      </c>
      <c r="M675" s="159" t="s">
        <v>408</v>
      </c>
      <c r="N675" s="159">
        <v>726</v>
      </c>
      <c r="O675" s="185">
        <f t="shared" si="34"/>
        <v>445.29863399999999</v>
      </c>
      <c r="P675" s="215">
        <f t="shared" si="35"/>
        <v>138.10750180027173</v>
      </c>
      <c r="Q675" s="215" cm="1">
        <f t="array" ref="Q675">IF(P675="-",0,P675/(1+'General inputs'!$H$32)^IFERROR(INDEX('MP Calculations'!$C$40:$C$130,MATCH(F675,'MP Calculations'!$D$40:$D$130,0),0),-1))</f>
        <v>199.99850078172915</v>
      </c>
    </row>
    <row r="676" spans="3:17" x14ac:dyDescent="0.25">
      <c r="C676" s="159"/>
      <c r="D676" s="165" t="s">
        <v>292</v>
      </c>
      <c r="E676" s="161">
        <v>41730</v>
      </c>
      <c r="F676" s="172" t="str">
        <f t="shared" si="33"/>
        <v>2013-14</v>
      </c>
      <c r="G676" s="68"/>
      <c r="H676" s="167" t="s">
        <v>279</v>
      </c>
      <c r="I676" s="173">
        <v>89592.114709699614</v>
      </c>
      <c r="J676" s="168">
        <f>IFERROR(MIN('MP Calculations'!$E$30/I676,1),"-")</f>
        <v>0.31014580161562261</v>
      </c>
      <c r="K676" s="12"/>
      <c r="L676" s="159">
        <v>0.92143900000000001</v>
      </c>
      <c r="M676" s="159" t="s">
        <v>408</v>
      </c>
      <c r="N676" s="159">
        <v>726</v>
      </c>
      <c r="O676" s="185">
        <f t="shared" si="34"/>
        <v>668.96471399999996</v>
      </c>
      <c r="P676" s="215">
        <f t="shared" si="35"/>
        <v>207.47659747609569</v>
      </c>
      <c r="Q676" s="215" cm="1">
        <f t="array" ref="Q676">IF(P676="-",0,P676/(1+'General inputs'!$H$32)^IFERROR(INDEX('MP Calculations'!$C$40:$C$130,MATCH(F676,'MP Calculations'!$D$40:$D$130,0),0),-1))</f>
        <v>300.45441342152918</v>
      </c>
    </row>
    <row r="677" spans="3:17" x14ac:dyDescent="0.25">
      <c r="C677" s="159"/>
      <c r="D677" s="165" t="s">
        <v>292</v>
      </c>
      <c r="E677" s="161">
        <v>41730</v>
      </c>
      <c r="F677" s="172" t="str">
        <f t="shared" si="33"/>
        <v>2013-14</v>
      </c>
      <c r="G677" s="68"/>
      <c r="H677" s="167" t="s">
        <v>279</v>
      </c>
      <c r="I677" s="173">
        <v>89592.114709699614</v>
      </c>
      <c r="J677" s="168">
        <f>IFERROR(MIN('MP Calculations'!$E$30/I677,1),"-")</f>
        <v>0.31014580161562261</v>
      </c>
      <c r="K677" s="12"/>
      <c r="L677" s="159">
        <v>1.0116890000000001</v>
      </c>
      <c r="M677" s="159" t="s">
        <v>408</v>
      </c>
      <c r="N677" s="159">
        <v>726</v>
      </c>
      <c r="O677" s="185">
        <f t="shared" si="34"/>
        <v>734.48621400000002</v>
      </c>
      <c r="P677" s="215">
        <f t="shared" si="35"/>
        <v>227.79781561665374</v>
      </c>
      <c r="Q677" s="215" cm="1">
        <f t="array" ref="Q677">IF(P677="-",0,P677/(1+'General inputs'!$H$32)^IFERROR(INDEX('MP Calculations'!$C$40:$C$130,MATCH(F677,'MP Calculations'!$D$40:$D$130,0),0),-1))</f>
        <v>329.88230914907388</v>
      </c>
    </row>
    <row r="678" spans="3:17" x14ac:dyDescent="0.25">
      <c r="C678" s="159"/>
      <c r="D678" s="165" t="s">
        <v>292</v>
      </c>
      <c r="E678" s="161">
        <v>41730</v>
      </c>
      <c r="F678" s="172" t="str">
        <f t="shared" si="33"/>
        <v>2013-14</v>
      </c>
      <c r="G678" s="68"/>
      <c r="H678" s="167" t="s">
        <v>279</v>
      </c>
      <c r="I678" s="173">
        <v>89592.114709699614</v>
      </c>
      <c r="J678" s="168">
        <f>IFERROR(MIN('MP Calculations'!$E$30/I678,1),"-")</f>
        <v>0.31014580161562261</v>
      </c>
      <c r="K678" s="12"/>
      <c r="L678" s="159">
        <v>2.054497</v>
      </c>
      <c r="M678" s="159" t="s">
        <v>408</v>
      </c>
      <c r="N678" s="159">
        <v>726</v>
      </c>
      <c r="O678" s="185">
        <f t="shared" si="34"/>
        <v>1491.564822</v>
      </c>
      <c r="P678" s="215">
        <f t="shared" si="35"/>
        <v>462.60256738085349</v>
      </c>
      <c r="Q678" s="215" cm="1">
        <f t="array" ref="Q678">IF(P678="-",0,P678/(1+'General inputs'!$H$32)^IFERROR(INDEX('MP Calculations'!$C$40:$C$130,MATCH(F678,'MP Calculations'!$D$40:$D$130,0),0),-1))</f>
        <v>669.91161760169859</v>
      </c>
    </row>
    <row r="679" spans="3:17" x14ac:dyDescent="0.25">
      <c r="C679" s="159"/>
      <c r="D679" s="165" t="s">
        <v>292</v>
      </c>
      <c r="E679" s="161">
        <v>41730</v>
      </c>
      <c r="F679" s="172" t="str">
        <f t="shared" si="33"/>
        <v>2013-14</v>
      </c>
      <c r="G679" s="68"/>
      <c r="H679" s="167" t="s">
        <v>279</v>
      </c>
      <c r="I679" s="173">
        <v>89592.114709699614</v>
      </c>
      <c r="J679" s="168">
        <f>IFERROR(MIN('MP Calculations'!$E$30/I679,1),"-")</f>
        <v>0.31014580161562261</v>
      </c>
      <c r="K679" s="12"/>
      <c r="L679" s="159">
        <v>0.90202700000000002</v>
      </c>
      <c r="M679" s="159" t="s">
        <v>408</v>
      </c>
      <c r="N679" s="159">
        <v>726</v>
      </c>
      <c r="O679" s="185">
        <f t="shared" si="34"/>
        <v>654.87160200000005</v>
      </c>
      <c r="P679" s="215">
        <f t="shared" si="35"/>
        <v>203.10567795759698</v>
      </c>
      <c r="Q679" s="215" cm="1">
        <f t="array" ref="Q679">IF(P679="-",0,P679/(1+'General inputs'!$H$32)^IFERROR(INDEX('MP Calculations'!$C$40:$C$130,MATCH(F679,'MP Calculations'!$D$40:$D$130,0),0),-1))</f>
        <v>294.12472575545615</v>
      </c>
    </row>
    <row r="680" spans="3:17" x14ac:dyDescent="0.25">
      <c r="C680" s="159"/>
      <c r="D680" s="165" t="s">
        <v>292</v>
      </c>
      <c r="E680" s="161">
        <v>41730</v>
      </c>
      <c r="F680" s="172" t="str">
        <f t="shared" si="33"/>
        <v>2013-14</v>
      </c>
      <c r="G680" s="68"/>
      <c r="H680" s="167" t="s">
        <v>279</v>
      </c>
      <c r="I680" s="173">
        <v>89592.114709699614</v>
      </c>
      <c r="J680" s="168">
        <f>IFERROR(MIN('MP Calculations'!$E$30/I680,1),"-")</f>
        <v>0.31014580161562261</v>
      </c>
      <c r="K680" s="12"/>
      <c r="L680" s="159">
        <v>0.34741100000000003</v>
      </c>
      <c r="M680" s="159" t="s">
        <v>408</v>
      </c>
      <c r="N680" s="159">
        <v>726</v>
      </c>
      <c r="O680" s="185">
        <f t="shared" si="34"/>
        <v>252.22038600000002</v>
      </c>
      <c r="P680" s="215">
        <f t="shared" si="35"/>
        <v>78.22509379977177</v>
      </c>
      <c r="Q680" s="215" cm="1">
        <f t="array" ref="Q680">IF(P680="-",0,P680/(1+'General inputs'!$H$32)^IFERROR(INDEX('MP Calculations'!$C$40:$C$130,MATCH(F680,'MP Calculations'!$D$40:$D$130,0),0),-1))</f>
        <v>113.28060590140736</v>
      </c>
    </row>
    <row r="681" spans="3:17" x14ac:dyDescent="0.25">
      <c r="C681" s="159"/>
      <c r="D681" s="165" t="s">
        <v>292</v>
      </c>
      <c r="E681" s="161">
        <v>41730</v>
      </c>
      <c r="F681" s="172" t="str">
        <f t="shared" si="33"/>
        <v>2013-14</v>
      </c>
      <c r="G681" s="68"/>
      <c r="H681" s="167" t="s">
        <v>279</v>
      </c>
      <c r="I681" s="173">
        <v>89592.114709699614</v>
      </c>
      <c r="J681" s="168">
        <f>IFERROR(MIN('MP Calculations'!$E$30/I681,1),"-")</f>
        <v>0.31014580161562261</v>
      </c>
      <c r="K681" s="12"/>
      <c r="L681" s="159">
        <v>1.6649750000000001</v>
      </c>
      <c r="M681" s="159" t="s">
        <v>408</v>
      </c>
      <c r="N681" s="159">
        <v>726</v>
      </c>
      <c r="O681" s="185">
        <f t="shared" si="34"/>
        <v>1208.7718500000001</v>
      </c>
      <c r="P681" s="215">
        <f t="shared" si="35"/>
        <v>374.89551438864913</v>
      </c>
      <c r="Q681" s="215" cm="1">
        <f t="array" ref="Q681">IF(P681="-",0,P681/(1+'General inputs'!$H$32)^IFERROR(INDEX('MP Calculations'!$C$40:$C$130,MATCH(F681,'MP Calculations'!$D$40:$D$130,0),0),-1))</f>
        <v>542.89984142901551</v>
      </c>
    </row>
    <row r="682" spans="3:17" x14ac:dyDescent="0.25">
      <c r="C682" s="159"/>
      <c r="D682" s="165" t="s">
        <v>292</v>
      </c>
      <c r="E682" s="161">
        <v>41730</v>
      </c>
      <c r="F682" s="172" t="str">
        <f t="shared" si="33"/>
        <v>2013-14</v>
      </c>
      <c r="G682" s="68"/>
      <c r="H682" s="167" t="s">
        <v>279</v>
      </c>
      <c r="I682" s="173">
        <v>89592.114709699614</v>
      </c>
      <c r="J682" s="168">
        <f>IFERROR(MIN('MP Calculations'!$E$30/I682,1),"-")</f>
        <v>0.31014580161562261</v>
      </c>
      <c r="K682" s="12"/>
      <c r="L682" s="159">
        <v>0.63144699999999998</v>
      </c>
      <c r="M682" s="159" t="s">
        <v>408</v>
      </c>
      <c r="N682" s="159">
        <v>726</v>
      </c>
      <c r="O682" s="185">
        <f t="shared" si="34"/>
        <v>458.430522</v>
      </c>
      <c r="P682" s="215">
        <f t="shared" si="35"/>
        <v>142.18030173075832</v>
      </c>
      <c r="Q682" s="215" cm="1">
        <f t="array" ref="Q682">IF(P682="-",0,P682/(1+'General inputs'!$H$32)^IFERROR(INDEX('MP Calculations'!$C$40:$C$130,MATCH(F682,'MP Calculations'!$D$40:$D$130,0),0),-1))</f>
        <v>205.89647062017599</v>
      </c>
    </row>
    <row r="683" spans="3:17" x14ac:dyDescent="0.25">
      <c r="C683" s="159"/>
      <c r="D683" s="165" t="s">
        <v>292</v>
      </c>
      <c r="E683" s="161">
        <v>41730</v>
      </c>
      <c r="F683" s="172" t="str">
        <f t="shared" si="33"/>
        <v>2013-14</v>
      </c>
      <c r="G683" s="68"/>
      <c r="H683" s="167" t="s">
        <v>279</v>
      </c>
      <c r="I683" s="173">
        <v>89592.114709699614</v>
      </c>
      <c r="J683" s="168">
        <f>IFERROR(MIN('MP Calculations'!$E$30/I683,1),"-")</f>
        <v>0.31014580161562261</v>
      </c>
      <c r="K683" s="12"/>
      <c r="L683" s="159">
        <v>1.6668609999999999</v>
      </c>
      <c r="M683" s="159" t="s">
        <v>408</v>
      </c>
      <c r="N683" s="159">
        <v>726</v>
      </c>
      <c r="O683" s="185">
        <f t="shared" si="34"/>
        <v>1210.1410859999999</v>
      </c>
      <c r="P683" s="215">
        <f t="shared" si="35"/>
        <v>375.32017718547007</v>
      </c>
      <c r="Q683" s="215" cm="1">
        <f t="array" ref="Q683">IF(P683="-",0,P683/(1+'General inputs'!$H$32)^IFERROR(INDEX('MP Calculations'!$C$40:$C$130,MATCH(F683,'MP Calculations'!$D$40:$D$130,0),0),-1))</f>
        <v>543.51481108377607</v>
      </c>
    </row>
    <row r="684" spans="3:17" x14ac:dyDescent="0.25">
      <c r="C684" s="159"/>
      <c r="D684" s="165" t="s">
        <v>292</v>
      </c>
      <c r="E684" s="161">
        <v>41730</v>
      </c>
      <c r="F684" s="172" t="str">
        <f t="shared" si="33"/>
        <v>2013-14</v>
      </c>
      <c r="G684" s="68"/>
      <c r="H684" s="167" t="s">
        <v>279</v>
      </c>
      <c r="I684" s="173">
        <v>89592.114709699614</v>
      </c>
      <c r="J684" s="168">
        <f>IFERROR(MIN('MP Calculations'!$E$30/I684,1),"-")</f>
        <v>0.31014580161562261</v>
      </c>
      <c r="K684" s="12"/>
      <c r="L684" s="159">
        <v>0.73982400000000004</v>
      </c>
      <c r="M684" s="159" t="s">
        <v>408</v>
      </c>
      <c r="N684" s="159">
        <v>726</v>
      </c>
      <c r="O684" s="185">
        <f t="shared" si="34"/>
        <v>537.11222400000008</v>
      </c>
      <c r="P684" s="215">
        <f t="shared" si="35"/>
        <v>166.58310127002989</v>
      </c>
      <c r="Q684" s="215" cm="1">
        <f t="array" ref="Q684">IF(P684="-",0,P684/(1+'General inputs'!$H$32)^IFERROR(INDEX('MP Calculations'!$C$40:$C$130,MATCH(F684,'MP Calculations'!$D$40:$D$130,0),0),-1))</f>
        <v>241.23505294997224</v>
      </c>
    </row>
    <row r="685" spans="3:17" x14ac:dyDescent="0.25">
      <c r="C685" s="159"/>
      <c r="D685" s="165" t="s">
        <v>977</v>
      </c>
      <c r="E685" s="161">
        <v>41730</v>
      </c>
      <c r="F685" s="172" t="str">
        <f t="shared" si="33"/>
        <v>2013-14</v>
      </c>
      <c r="G685" s="68"/>
      <c r="H685" s="167" t="s">
        <v>279</v>
      </c>
      <c r="I685" s="173">
        <v>89592.114709699614</v>
      </c>
      <c r="J685" s="168">
        <f>IFERROR(MIN('MP Calculations'!$E$30/I685,1),"-")</f>
        <v>0.31014580161562261</v>
      </c>
      <c r="K685" s="12"/>
      <c r="L685" s="159">
        <v>46.654870000000003</v>
      </c>
      <c r="M685" s="159" t="s">
        <v>408</v>
      </c>
      <c r="N685" s="159">
        <v>1527</v>
      </c>
      <c r="O685" s="185">
        <f t="shared" si="34"/>
        <v>71241.98649000001</v>
      </c>
      <c r="P685" s="215">
        <f t="shared" si="35"/>
        <v>22095.403008630408</v>
      </c>
      <c r="Q685" s="215" cm="1">
        <f t="array" ref="Q685">IF(P685="-",0,P685/(1+'General inputs'!$H$32)^IFERROR(INDEX('MP Calculations'!$C$40:$C$130,MATCH(F685,'MP Calculations'!$D$40:$D$130,0),0),-1))</f>
        <v>31997.157419333569</v>
      </c>
    </row>
    <row r="686" spans="3:17" x14ac:dyDescent="0.25">
      <c r="C686" s="159"/>
      <c r="D686" s="165" t="s">
        <v>292</v>
      </c>
      <c r="E686" s="161">
        <v>41730</v>
      </c>
      <c r="F686" s="172" t="str">
        <f t="shared" si="33"/>
        <v>2013-14</v>
      </c>
      <c r="G686" s="68"/>
      <c r="H686" s="167" t="s">
        <v>279</v>
      </c>
      <c r="I686" s="173">
        <v>89592.114709699614</v>
      </c>
      <c r="J686" s="168">
        <f>IFERROR(MIN('MP Calculations'!$E$30/I686,1),"-")</f>
        <v>0.31014580161562261</v>
      </c>
      <c r="K686" s="12"/>
      <c r="L686" s="159">
        <v>18.436533000000001</v>
      </c>
      <c r="M686" s="159" t="s">
        <v>408</v>
      </c>
      <c r="N686" s="159">
        <v>726</v>
      </c>
      <c r="O686" s="185">
        <f t="shared" si="34"/>
        <v>13384.922958000001</v>
      </c>
      <c r="P686" s="215">
        <f t="shared" si="35"/>
        <v>4151.2776603722605</v>
      </c>
      <c r="Q686" s="215" cm="1">
        <f t="array" ref="Q686">IF(P686="-",0,P686/(1+'General inputs'!$H$32)^IFERROR(INDEX('MP Calculations'!$C$40:$C$130,MATCH(F686,'MP Calculations'!$D$40:$D$130,0),0),-1))</f>
        <v>6011.6162958607847</v>
      </c>
    </row>
    <row r="687" spans="3:17" x14ac:dyDescent="0.25">
      <c r="C687" s="159"/>
      <c r="D687" s="165" t="s">
        <v>292</v>
      </c>
      <c r="E687" s="161">
        <v>41730</v>
      </c>
      <c r="F687" s="172" t="str">
        <f t="shared" si="33"/>
        <v>2013-14</v>
      </c>
      <c r="G687" s="68"/>
      <c r="H687" s="167" t="s">
        <v>279</v>
      </c>
      <c r="I687" s="173">
        <v>89592.114709699614</v>
      </c>
      <c r="J687" s="168">
        <f>IFERROR(MIN('MP Calculations'!$E$30/I687,1),"-")</f>
        <v>0.31014580161562261</v>
      </c>
      <c r="K687" s="12"/>
      <c r="L687" s="159">
        <v>67.946245000000005</v>
      </c>
      <c r="M687" s="159" t="s">
        <v>408</v>
      </c>
      <c r="N687" s="159">
        <v>726</v>
      </c>
      <c r="O687" s="185">
        <f t="shared" si="34"/>
        <v>49328.973870000002</v>
      </c>
      <c r="P687" s="215">
        <f t="shared" si="35"/>
        <v>15299.174143787252</v>
      </c>
      <c r="Q687" s="215" cm="1">
        <f t="array" ref="Q687">IF(P687="-",0,P687/(1+'General inputs'!$H$32)^IFERROR(INDEX('MP Calculations'!$C$40:$C$130,MATCH(F687,'MP Calculations'!$D$40:$D$130,0),0),-1))</f>
        <v>22155.291002085338</v>
      </c>
    </row>
    <row r="688" spans="3:17" x14ac:dyDescent="0.25">
      <c r="C688" s="159"/>
      <c r="D688" s="165" t="s">
        <v>292</v>
      </c>
      <c r="E688" s="161">
        <v>41730</v>
      </c>
      <c r="F688" s="172" t="str">
        <f t="shared" si="33"/>
        <v>2013-14</v>
      </c>
      <c r="G688" s="68"/>
      <c r="H688" s="167" t="s">
        <v>279</v>
      </c>
      <c r="I688" s="173">
        <v>89592.114709699614</v>
      </c>
      <c r="J688" s="168">
        <f>IFERROR(MIN('MP Calculations'!$E$30/I688,1),"-")</f>
        <v>0.31014580161562261</v>
      </c>
      <c r="K688" s="12"/>
      <c r="L688" s="159">
        <v>319.63653399999998</v>
      </c>
      <c r="M688" s="159" t="s">
        <v>408</v>
      </c>
      <c r="N688" s="159">
        <v>726</v>
      </c>
      <c r="O688" s="185">
        <f t="shared" si="34"/>
        <v>232056.12368399999</v>
      </c>
      <c r="P688" s="215">
        <f t="shared" si="35"/>
        <v>71971.232499788239</v>
      </c>
      <c r="Q688" s="215" cm="1">
        <f t="array" ref="Q688">IF(P688="-",0,P688/(1+'General inputs'!$H$32)^IFERROR(INDEX('MP Calculations'!$C$40:$C$130,MATCH(F688,'MP Calculations'!$D$40:$D$130,0),0),-1))</f>
        <v>104224.16169823577</v>
      </c>
    </row>
    <row r="689" spans="3:17" x14ac:dyDescent="0.25">
      <c r="C689" s="159"/>
      <c r="D689" s="165" t="s">
        <v>292</v>
      </c>
      <c r="E689" s="161">
        <v>41730</v>
      </c>
      <c r="F689" s="172" t="str">
        <f t="shared" si="33"/>
        <v>2013-14</v>
      </c>
      <c r="G689" s="68"/>
      <c r="H689" s="167" t="s">
        <v>279</v>
      </c>
      <c r="I689" s="173">
        <v>89592.114709699614</v>
      </c>
      <c r="J689" s="168">
        <f>IFERROR(MIN('MP Calculations'!$E$30/I689,1),"-")</f>
        <v>0.31014580161562261</v>
      </c>
      <c r="K689" s="12"/>
      <c r="L689" s="159">
        <v>68.183447000000001</v>
      </c>
      <c r="M689" s="159" t="s">
        <v>408</v>
      </c>
      <c r="N689" s="159">
        <v>726</v>
      </c>
      <c r="O689" s="185">
        <f t="shared" si="34"/>
        <v>49501.182522000003</v>
      </c>
      <c r="P689" s="215">
        <f t="shared" si="35"/>
        <v>15352.583934206938</v>
      </c>
      <c r="Q689" s="215" cm="1">
        <f t="array" ref="Q689">IF(P689="-",0,P689/(1+'General inputs'!$H$32)^IFERROR(INDEX('MP Calculations'!$C$40:$C$130,MATCH(F689,'MP Calculations'!$D$40:$D$130,0),0),-1))</f>
        <v>22232.635663828994</v>
      </c>
    </row>
    <row r="690" spans="3:17" x14ac:dyDescent="0.25">
      <c r="C690" s="159"/>
      <c r="D690" s="165" t="s">
        <v>977</v>
      </c>
      <c r="E690" s="161">
        <v>41730</v>
      </c>
      <c r="F690" s="172" t="str">
        <f t="shared" si="33"/>
        <v>2013-14</v>
      </c>
      <c r="G690" s="68"/>
      <c r="H690" s="167" t="s">
        <v>279</v>
      </c>
      <c r="I690" s="173">
        <v>89592.114709699614</v>
      </c>
      <c r="J690" s="168">
        <f>IFERROR(MIN('MP Calculations'!$E$30/I690,1),"-")</f>
        <v>0.31014580161562261</v>
      </c>
      <c r="K690" s="12"/>
      <c r="L690" s="159">
        <v>34.848737999999997</v>
      </c>
      <c r="M690" s="159" t="s">
        <v>408</v>
      </c>
      <c r="N690" s="159">
        <v>1527</v>
      </c>
      <c r="O690" s="185">
        <f t="shared" si="34"/>
        <v>53214.022925999998</v>
      </c>
      <c r="P690" s="215">
        <f t="shared" si="35"/>
        <v>16504.105797576387</v>
      </c>
      <c r="Q690" s="215" cm="1">
        <f t="array" ref="Q690">IF(P690="-",0,P690/(1+'General inputs'!$H$32)^IFERROR(INDEX('MP Calculations'!$C$40:$C$130,MATCH(F690,'MP Calculations'!$D$40:$D$130,0),0),-1))</f>
        <v>23900.196392168953</v>
      </c>
    </row>
    <row r="691" spans="3:17" x14ac:dyDescent="0.25">
      <c r="C691" s="159"/>
      <c r="D691" s="165" t="s">
        <v>292</v>
      </c>
      <c r="E691" s="161">
        <v>41730</v>
      </c>
      <c r="F691" s="172" t="str">
        <f t="shared" si="33"/>
        <v>2013-14</v>
      </c>
      <c r="G691" s="68"/>
      <c r="H691" s="167" t="s">
        <v>279</v>
      </c>
      <c r="I691" s="173">
        <v>89592.114709699614</v>
      </c>
      <c r="J691" s="168">
        <f>IFERROR(MIN('MP Calculations'!$E$30/I691,1),"-")</f>
        <v>0.31014580161562261</v>
      </c>
      <c r="K691" s="12"/>
      <c r="L691" s="159">
        <v>19.679977000000001</v>
      </c>
      <c r="M691" s="159" t="s">
        <v>408</v>
      </c>
      <c r="N691" s="159">
        <v>726</v>
      </c>
      <c r="O691" s="185">
        <f t="shared" si="34"/>
        <v>14287.663302000001</v>
      </c>
      <c r="P691" s="215">
        <f t="shared" si="35"/>
        <v>4431.258788012904</v>
      </c>
      <c r="Q691" s="215" cm="1">
        <f t="array" ref="Q691">IF(P691="-",0,P691/(1+'General inputs'!$H$32)^IFERROR(INDEX('MP Calculations'!$C$40:$C$130,MATCH(F691,'MP Calculations'!$D$40:$D$130,0),0),-1))</f>
        <v>6417.0671587421266</v>
      </c>
    </row>
    <row r="692" spans="3:17" x14ac:dyDescent="0.25">
      <c r="C692" s="159"/>
      <c r="D692" s="165" t="s">
        <v>292</v>
      </c>
      <c r="E692" s="161">
        <v>41730</v>
      </c>
      <c r="F692" s="172" t="str">
        <f t="shared" si="33"/>
        <v>2013-14</v>
      </c>
      <c r="G692" s="68"/>
      <c r="H692" s="167" t="s">
        <v>279</v>
      </c>
      <c r="I692" s="173">
        <v>89592.114709699614</v>
      </c>
      <c r="J692" s="168">
        <f>IFERROR(MIN('MP Calculations'!$E$30/I692,1),"-")</f>
        <v>0.31014580161562261</v>
      </c>
      <c r="K692" s="12"/>
      <c r="L692" s="159">
        <v>132.01860199999999</v>
      </c>
      <c r="M692" s="159" t="s">
        <v>408</v>
      </c>
      <c r="N692" s="159">
        <v>726</v>
      </c>
      <c r="O692" s="185">
        <f t="shared" si="34"/>
        <v>95845.505051999993</v>
      </c>
      <c r="P692" s="215">
        <f t="shared" si="35"/>
        <v>29726.080995606746</v>
      </c>
      <c r="Q692" s="215" cm="1">
        <f t="array" ref="Q692">IF(P692="-",0,P692/(1+'General inputs'!$H$32)^IFERROR(INDEX('MP Calculations'!$C$40:$C$130,MATCH(F692,'MP Calculations'!$D$40:$D$130,0),0),-1))</f>
        <v>43047.419986174151</v>
      </c>
    </row>
    <row r="693" spans="3:17" x14ac:dyDescent="0.25">
      <c r="C693" s="159"/>
      <c r="D693" s="165" t="s">
        <v>292</v>
      </c>
      <c r="E693" s="161">
        <v>41730</v>
      </c>
      <c r="F693" s="172" t="str">
        <f t="shared" si="33"/>
        <v>2013-14</v>
      </c>
      <c r="G693" s="68"/>
      <c r="H693" s="167" t="s">
        <v>279</v>
      </c>
      <c r="I693" s="173">
        <v>89592.114709699614</v>
      </c>
      <c r="J693" s="168">
        <f>IFERROR(MIN('MP Calculations'!$E$30/I693,1),"-")</f>
        <v>0.31014580161562261</v>
      </c>
      <c r="K693" s="12"/>
      <c r="L693" s="159">
        <v>336.19140700000003</v>
      </c>
      <c r="M693" s="159" t="s">
        <v>408</v>
      </c>
      <c r="N693" s="159">
        <v>726</v>
      </c>
      <c r="O693" s="185">
        <f t="shared" si="34"/>
        <v>244074.96148200001</v>
      </c>
      <c r="P693" s="215">
        <f t="shared" si="35"/>
        <v>75698.824583137102</v>
      </c>
      <c r="Q693" s="215" cm="1">
        <f t="array" ref="Q693">IF(P693="-",0,P693/(1+'General inputs'!$H$32)^IFERROR(INDEX('MP Calculations'!$C$40:$C$130,MATCH(F693,'MP Calculations'!$D$40:$D$130,0),0),-1))</f>
        <v>109622.22348689777</v>
      </c>
    </row>
    <row r="694" spans="3:17" x14ac:dyDescent="0.25">
      <c r="C694" s="159"/>
      <c r="D694" s="165" t="s">
        <v>292</v>
      </c>
      <c r="E694" s="161">
        <v>41730</v>
      </c>
      <c r="F694" s="172" t="str">
        <f t="shared" si="33"/>
        <v>2013-14</v>
      </c>
      <c r="G694" s="68"/>
      <c r="H694" s="167" t="s">
        <v>279</v>
      </c>
      <c r="I694" s="173">
        <v>89592.114709699614</v>
      </c>
      <c r="J694" s="168">
        <f>IFERROR(MIN('MP Calculations'!$E$30/I694,1),"-")</f>
        <v>0.31014580161562261</v>
      </c>
      <c r="K694" s="12"/>
      <c r="L694" s="159">
        <v>269.87004200000001</v>
      </c>
      <c r="M694" s="159" t="s">
        <v>408</v>
      </c>
      <c r="N694" s="159">
        <v>726</v>
      </c>
      <c r="O694" s="185">
        <f t="shared" si="34"/>
        <v>195925.65049200002</v>
      </c>
      <c r="P694" s="215">
        <f t="shared" si="35"/>
        <v>60765.517928903646</v>
      </c>
      <c r="Q694" s="215" cm="1">
        <f t="array" ref="Q694">IF(P694="-",0,P694/(1+'General inputs'!$H$32)^IFERROR(INDEX('MP Calculations'!$C$40:$C$130,MATCH(F694,'MP Calculations'!$D$40:$D$130,0),0),-1))</f>
        <v>87996.758514837609</v>
      </c>
    </row>
    <row r="695" spans="3:17" x14ac:dyDescent="0.25">
      <c r="C695" s="159"/>
      <c r="D695" s="165" t="s">
        <v>292</v>
      </c>
      <c r="E695" s="161">
        <v>41730</v>
      </c>
      <c r="F695" s="172" t="str">
        <f t="shared" si="33"/>
        <v>2013-14</v>
      </c>
      <c r="G695" s="68"/>
      <c r="H695" s="167" t="s">
        <v>279</v>
      </c>
      <c r="I695" s="173">
        <v>89592.114709699614</v>
      </c>
      <c r="J695" s="168">
        <f>IFERROR(MIN('MP Calculations'!$E$30/I695,1),"-")</f>
        <v>0.31014580161562261</v>
      </c>
      <c r="K695" s="12"/>
      <c r="L695" s="159">
        <v>84.583476000000005</v>
      </c>
      <c r="M695" s="159" t="s">
        <v>408</v>
      </c>
      <c r="N695" s="159">
        <v>726</v>
      </c>
      <c r="O695" s="185">
        <f t="shared" si="34"/>
        <v>61407.603576000001</v>
      </c>
      <c r="P695" s="215">
        <f t="shared" si="35"/>
        <v>19045.310436372893</v>
      </c>
      <c r="Q695" s="215" cm="1">
        <f t="array" ref="Q695">IF(P695="-",0,P695/(1+'General inputs'!$H$32)^IFERROR(INDEX('MP Calculations'!$C$40:$C$130,MATCH(F695,'MP Calculations'!$D$40:$D$130,0),0),-1))</f>
        <v>27580.207335194184</v>
      </c>
    </row>
    <row r="696" spans="3:17" x14ac:dyDescent="0.25">
      <c r="C696" s="159"/>
      <c r="D696" s="165" t="s">
        <v>292</v>
      </c>
      <c r="E696" s="161">
        <v>41730</v>
      </c>
      <c r="F696" s="172" t="str">
        <f t="shared" si="33"/>
        <v>2013-14</v>
      </c>
      <c r="G696" s="68"/>
      <c r="H696" s="167" t="s">
        <v>279</v>
      </c>
      <c r="I696" s="173">
        <v>89592.114709699614</v>
      </c>
      <c r="J696" s="168">
        <f>IFERROR(MIN('MP Calculations'!$E$30/I696,1),"-")</f>
        <v>0.31014580161562261</v>
      </c>
      <c r="K696" s="12"/>
      <c r="L696" s="159">
        <v>10.000022</v>
      </c>
      <c r="M696" s="159" t="s">
        <v>408</v>
      </c>
      <c r="N696" s="159">
        <v>726</v>
      </c>
      <c r="O696" s="185">
        <f t="shared" si="34"/>
        <v>7260.0159719999992</v>
      </c>
      <c r="P696" s="215">
        <f t="shared" si="35"/>
        <v>2251.6634733781634</v>
      </c>
      <c r="Q696" s="215" cm="1">
        <f t="array" ref="Q696">IF(P696="-",0,P696/(1+'General inputs'!$H$32)^IFERROR(INDEX('MP Calculations'!$C$40:$C$130,MATCH(F696,'MP Calculations'!$D$40:$D$130,0),0),-1))</f>
        <v>3260.715841431052</v>
      </c>
    </row>
    <row r="697" spans="3:17" x14ac:dyDescent="0.25">
      <c r="C697" s="159"/>
      <c r="D697" s="165" t="s">
        <v>977</v>
      </c>
      <c r="E697" s="161">
        <v>41730</v>
      </c>
      <c r="F697" s="172" t="str">
        <f t="shared" si="33"/>
        <v>2013-14</v>
      </c>
      <c r="G697" s="68"/>
      <c r="H697" s="167" t="s">
        <v>279</v>
      </c>
      <c r="I697" s="173">
        <v>89592.114709699614</v>
      </c>
      <c r="J697" s="168">
        <f>IFERROR(MIN('MP Calculations'!$E$30/I697,1),"-")</f>
        <v>0.31014580161562261</v>
      </c>
      <c r="K697" s="12"/>
      <c r="L697" s="159">
        <v>29.262708</v>
      </c>
      <c r="M697" s="159" t="s">
        <v>408</v>
      </c>
      <c r="N697" s="159">
        <v>1527</v>
      </c>
      <c r="O697" s="185">
        <f t="shared" si="34"/>
        <v>44684.155116000002</v>
      </c>
      <c r="P697" s="215">
        <f t="shared" si="35"/>
        <v>13858.603107968645</v>
      </c>
      <c r="Q697" s="215" cm="1">
        <f t="array" ref="Q697">IF(P697="-",0,P697/(1+'General inputs'!$H$32)^IFERROR(INDEX('MP Calculations'!$C$40:$C$130,MATCH(F697,'MP Calculations'!$D$40:$D$130,0),0),-1))</f>
        <v>20069.147645079534</v>
      </c>
    </row>
    <row r="698" spans="3:17" x14ac:dyDescent="0.25">
      <c r="C698" s="159"/>
      <c r="D698" s="165" t="s">
        <v>292</v>
      </c>
      <c r="E698" s="161">
        <v>41730</v>
      </c>
      <c r="F698" s="172" t="str">
        <f t="shared" si="33"/>
        <v>2013-14</v>
      </c>
      <c r="G698" s="68"/>
      <c r="H698" s="167" t="s">
        <v>279</v>
      </c>
      <c r="I698" s="173">
        <v>89592.114709699614</v>
      </c>
      <c r="J698" s="168">
        <f>IFERROR(MIN('MP Calculations'!$E$30/I698,1),"-")</f>
        <v>0.31014580161562261</v>
      </c>
      <c r="K698" s="12"/>
      <c r="L698" s="159">
        <v>0.56003800000000004</v>
      </c>
      <c r="M698" s="159" t="s">
        <v>408</v>
      </c>
      <c r="N698" s="159">
        <v>726</v>
      </c>
      <c r="O698" s="185">
        <f t="shared" si="34"/>
        <v>406.58758800000004</v>
      </c>
      <c r="P698" s="215">
        <f t="shared" si="35"/>
        <v>126.10143340722252</v>
      </c>
      <c r="Q698" s="215" cm="1">
        <f t="array" ref="Q698">IF(P698="-",0,P698/(1+'General inputs'!$H$32)^IFERROR(INDEX('MP Calculations'!$C$40:$C$130,MATCH(F698,'MP Calculations'!$D$40:$D$130,0),0),-1))</f>
        <v>182.61207609376896</v>
      </c>
    </row>
    <row r="699" spans="3:17" x14ac:dyDescent="0.25">
      <c r="C699" s="159"/>
      <c r="D699" s="165" t="s">
        <v>746</v>
      </c>
      <c r="E699" s="161">
        <v>41737</v>
      </c>
      <c r="F699" s="172" t="str">
        <f t="shared" si="33"/>
        <v>2013-14</v>
      </c>
      <c r="G699" s="68"/>
      <c r="H699" s="167" t="s">
        <v>279</v>
      </c>
      <c r="I699" s="173">
        <v>89592.114709699614</v>
      </c>
      <c r="J699" s="168">
        <f>IFERROR(MIN('MP Calculations'!$E$30/I699,1),"-")</f>
        <v>0.31014580161562261</v>
      </c>
      <c r="K699" s="12"/>
      <c r="L699" s="159">
        <v>1</v>
      </c>
      <c r="M699" s="159" t="s">
        <v>409</v>
      </c>
      <c r="N699" s="159">
        <v>15413.17</v>
      </c>
      <c r="O699" s="185">
        <f t="shared" si="34"/>
        <v>15413.17</v>
      </c>
      <c r="P699" s="215">
        <f t="shared" si="35"/>
        <v>4780.3299650878662</v>
      </c>
      <c r="Q699" s="215" cm="1">
        <f t="array" ref="Q699">IF(P699="-",0,P699/(1+'General inputs'!$H$32)^IFERROR(INDEX('MP Calculations'!$C$40:$C$130,MATCH(F699,'MP Calculations'!$D$40:$D$130,0),0),-1))</f>
        <v>6922.5698372430325</v>
      </c>
    </row>
    <row r="700" spans="3:17" x14ac:dyDescent="0.25">
      <c r="C700" s="159"/>
      <c r="D700" s="165" t="s">
        <v>747</v>
      </c>
      <c r="E700" s="161">
        <v>41738</v>
      </c>
      <c r="F700" s="172" t="str">
        <f t="shared" si="33"/>
        <v>2013-14</v>
      </c>
      <c r="G700" s="68"/>
      <c r="H700" s="167" t="s">
        <v>279</v>
      </c>
      <c r="I700" s="173">
        <v>89592.114709699614</v>
      </c>
      <c r="J700" s="168">
        <f>IFERROR(MIN('MP Calculations'!$E$30/I700,1),"-")</f>
        <v>0.31014580161562261</v>
      </c>
      <c r="K700" s="12"/>
      <c r="L700" s="159">
        <v>1</v>
      </c>
      <c r="M700" s="159" t="s">
        <v>409</v>
      </c>
      <c r="N700" s="159">
        <v>1163.17</v>
      </c>
      <c r="O700" s="185">
        <f t="shared" si="34"/>
        <v>1163.17</v>
      </c>
      <c r="P700" s="215">
        <f t="shared" si="35"/>
        <v>360.75229206524375</v>
      </c>
      <c r="Q700" s="215" cm="1">
        <f t="array" ref="Q700">IF(P700="-",0,P700/(1+'General inputs'!$H$32)^IFERROR(INDEX('MP Calculations'!$C$40:$C$130,MATCH(F700,'MP Calculations'!$D$40:$D$130,0),0),-1))</f>
        <v>522.41852633728024</v>
      </c>
    </row>
    <row r="701" spans="3:17" x14ac:dyDescent="0.25">
      <c r="C701" s="159"/>
      <c r="D701" s="165" t="s">
        <v>748</v>
      </c>
      <c r="E701" s="161">
        <v>41742</v>
      </c>
      <c r="F701" s="172" t="str">
        <f t="shared" si="33"/>
        <v>2013-14</v>
      </c>
      <c r="G701" s="68"/>
      <c r="H701" s="167" t="s">
        <v>279</v>
      </c>
      <c r="I701" s="173">
        <v>89592.114709699614</v>
      </c>
      <c r="J701" s="168">
        <f>IFERROR(MIN('MP Calculations'!$E$30/I701,1),"-")</f>
        <v>0.31014580161562261</v>
      </c>
      <c r="K701" s="12"/>
      <c r="L701" s="159">
        <v>1</v>
      </c>
      <c r="M701" s="159" t="s">
        <v>409</v>
      </c>
      <c r="N701" s="159">
        <v>277.27999999999997</v>
      </c>
      <c r="O701" s="185">
        <f t="shared" si="34"/>
        <v>277.27999999999997</v>
      </c>
      <c r="P701" s="215">
        <f t="shared" si="35"/>
        <v>85.997227871979831</v>
      </c>
      <c r="Q701" s="215" cm="1">
        <f t="array" ref="Q701">IF(P701="-",0,P701/(1+'General inputs'!$H$32)^IFERROR(INDEX('MP Calculations'!$C$40:$C$130,MATCH(F701,'MP Calculations'!$D$40:$D$130,0),0),-1))</f>
        <v>124.53571617459275</v>
      </c>
    </row>
    <row r="702" spans="3:17" x14ac:dyDescent="0.25">
      <c r="C702" s="159"/>
      <c r="D702" s="165" t="s">
        <v>283</v>
      </c>
      <c r="E702" s="161">
        <v>41743</v>
      </c>
      <c r="F702" s="172" t="str">
        <f t="shared" si="33"/>
        <v>2013-14</v>
      </c>
      <c r="G702" s="68"/>
      <c r="H702" s="167" t="s">
        <v>279</v>
      </c>
      <c r="I702" s="173">
        <v>89592.114709699614</v>
      </c>
      <c r="J702" s="168">
        <f>IFERROR(MIN('MP Calculations'!$E$30/I702,1),"-")</f>
        <v>0.31014580161562261</v>
      </c>
      <c r="K702" s="12"/>
      <c r="L702" s="159">
        <v>6.4527749999999999</v>
      </c>
      <c r="M702" s="159" t="s">
        <v>408</v>
      </c>
      <c r="N702" s="159">
        <v>622</v>
      </c>
      <c r="O702" s="185">
        <f t="shared" si="34"/>
        <v>4013.6260499999999</v>
      </c>
      <c r="P702" s="215">
        <f t="shared" si="35"/>
        <v>1244.8092686625948</v>
      </c>
      <c r="Q702" s="215" cm="1">
        <f t="array" ref="Q702">IF(P702="-",0,P702/(1+'General inputs'!$H$32)^IFERROR(INDEX('MP Calculations'!$C$40:$C$130,MATCH(F702,'MP Calculations'!$D$40:$D$130,0),0),-1))</f>
        <v>1802.6536158170504</v>
      </c>
    </row>
    <row r="703" spans="3:17" x14ac:dyDescent="0.25">
      <c r="C703" s="159"/>
      <c r="D703" s="165" t="s">
        <v>749</v>
      </c>
      <c r="E703" s="161">
        <v>41760</v>
      </c>
      <c r="F703" s="172" t="str">
        <f t="shared" si="33"/>
        <v>2013-14</v>
      </c>
      <c r="G703" s="68"/>
      <c r="H703" s="167" t="s">
        <v>279</v>
      </c>
      <c r="I703" s="173">
        <v>89592.114709699614</v>
      </c>
      <c r="J703" s="168">
        <f>IFERROR(MIN('MP Calculations'!$E$30/I703,1),"-")</f>
        <v>0.31014580161562261</v>
      </c>
      <c r="K703" s="12"/>
      <c r="L703" s="159">
        <v>1</v>
      </c>
      <c r="M703" s="159" t="s">
        <v>409</v>
      </c>
      <c r="N703" s="159">
        <v>8184.88</v>
      </c>
      <c r="O703" s="185">
        <f t="shared" si="34"/>
        <v>8184.88</v>
      </c>
      <c r="P703" s="215">
        <f t="shared" si="35"/>
        <v>2538.506168727677</v>
      </c>
      <c r="Q703" s="215" cm="1">
        <f t="array" ref="Q703">IF(P703="-",0,P703/(1+'General inputs'!$H$32)^IFERROR(INDEX('MP Calculations'!$C$40:$C$130,MATCH(F703,'MP Calculations'!$D$40:$D$130,0),0),-1))</f>
        <v>3676.1031902881591</v>
      </c>
    </row>
    <row r="704" spans="3:17" x14ac:dyDescent="0.25">
      <c r="C704" s="159"/>
      <c r="D704" s="165" t="s">
        <v>750</v>
      </c>
      <c r="E704" s="161">
        <v>41774</v>
      </c>
      <c r="F704" s="172" t="str">
        <f t="shared" si="33"/>
        <v>2013-14</v>
      </c>
      <c r="G704" s="68"/>
      <c r="H704" s="167" t="s">
        <v>279</v>
      </c>
      <c r="I704" s="173">
        <v>89592.114709699614</v>
      </c>
      <c r="J704" s="168">
        <f>IFERROR(MIN('MP Calculations'!$E$30/I704,1),"-")</f>
        <v>0.31014580161562261</v>
      </c>
      <c r="K704" s="12"/>
      <c r="L704" s="159">
        <v>1</v>
      </c>
      <c r="M704" s="159" t="s">
        <v>409</v>
      </c>
      <c r="N704" s="159">
        <v>2474.48</v>
      </c>
      <c r="O704" s="185">
        <f t="shared" si="34"/>
        <v>2474.48</v>
      </c>
      <c r="P704" s="215">
        <f t="shared" si="35"/>
        <v>767.4495831818258</v>
      </c>
      <c r="Q704" s="215" cm="1">
        <f t="array" ref="Q704">IF(P704="-",0,P704/(1+'General inputs'!$H$32)^IFERROR(INDEX('MP Calculations'!$C$40:$C$130,MATCH(F704,'MP Calculations'!$D$40:$D$130,0),0),-1))</f>
        <v>1111.3716783024606</v>
      </c>
    </row>
    <row r="705" spans="3:17" x14ac:dyDescent="0.25">
      <c r="C705" s="159"/>
      <c r="D705" s="165" t="s">
        <v>751</v>
      </c>
      <c r="E705" s="161">
        <v>41816</v>
      </c>
      <c r="F705" s="172" t="str">
        <f t="shared" si="33"/>
        <v>2013-14</v>
      </c>
      <c r="G705" s="68"/>
      <c r="H705" s="167" t="s">
        <v>279</v>
      </c>
      <c r="I705" s="173">
        <v>89592.114709699614</v>
      </c>
      <c r="J705" s="168">
        <f>IFERROR(MIN('MP Calculations'!$E$30/I705,1),"-")</f>
        <v>0.31014580161562261</v>
      </c>
      <c r="K705" s="12"/>
      <c r="L705" s="159">
        <v>1</v>
      </c>
      <c r="M705" s="159" t="s">
        <v>409</v>
      </c>
      <c r="N705" s="159">
        <v>2018.46</v>
      </c>
      <c r="O705" s="185">
        <f t="shared" si="34"/>
        <v>2018.46</v>
      </c>
      <c r="P705" s="215">
        <f t="shared" si="35"/>
        <v>626.01689472906958</v>
      </c>
      <c r="Q705" s="215" cm="1">
        <f t="array" ref="Q705">IF(P705="-",0,P705/(1+'General inputs'!$H$32)^IFERROR(INDEX('MP Calculations'!$C$40:$C$130,MATCH(F705,'MP Calculations'!$D$40:$D$130,0),0),-1))</f>
        <v>906.55785368497004</v>
      </c>
    </row>
    <row r="706" spans="3:17" x14ac:dyDescent="0.25">
      <c r="C706" s="159"/>
      <c r="D706" s="165" t="s">
        <v>752</v>
      </c>
      <c r="E706" s="161">
        <v>41816</v>
      </c>
      <c r="F706" s="172" t="str">
        <f t="shared" si="33"/>
        <v>2013-14</v>
      </c>
      <c r="G706" s="68"/>
      <c r="H706" s="167" t="s">
        <v>279</v>
      </c>
      <c r="I706" s="173">
        <v>89592.114709699614</v>
      </c>
      <c r="J706" s="168">
        <f>IFERROR(MIN('MP Calculations'!$E$30/I706,1),"-")</f>
        <v>0.31014580161562261</v>
      </c>
      <c r="K706" s="12"/>
      <c r="L706" s="159">
        <v>1</v>
      </c>
      <c r="M706" s="159" t="s">
        <v>409</v>
      </c>
      <c r="N706" s="159">
        <v>8910.92</v>
      </c>
      <c r="O706" s="185">
        <f t="shared" si="34"/>
        <v>8910.92</v>
      </c>
      <c r="P706" s="215">
        <f t="shared" si="35"/>
        <v>2763.684426532684</v>
      </c>
      <c r="Q706" s="215" cm="1">
        <f t="array" ref="Q706">IF(P706="-",0,P706/(1+'General inputs'!$H$32)^IFERROR(INDEX('MP Calculations'!$C$40:$C$130,MATCH(F706,'MP Calculations'!$D$40:$D$130,0),0),-1))</f>
        <v>4002.1920224123705</v>
      </c>
    </row>
    <row r="707" spans="3:17" x14ac:dyDescent="0.25">
      <c r="C707" s="159"/>
      <c r="D707" s="165" t="s">
        <v>753</v>
      </c>
      <c r="E707" s="161">
        <v>41821</v>
      </c>
      <c r="F707" s="172" t="str">
        <f t="shared" si="33"/>
        <v>2014-15</v>
      </c>
      <c r="G707" s="68"/>
      <c r="H707" s="167" t="s">
        <v>279</v>
      </c>
      <c r="I707" s="173">
        <v>89592.114709699614</v>
      </c>
      <c r="J707" s="168">
        <f>IFERROR(MIN('MP Calculations'!$E$30/I707,1),"-")</f>
        <v>0.31014580161562261</v>
      </c>
      <c r="K707" s="12"/>
      <c r="L707" s="159">
        <v>1</v>
      </c>
      <c r="M707" s="159" t="s">
        <v>409</v>
      </c>
      <c r="N707" s="159">
        <v>19133.04</v>
      </c>
      <c r="O707" s="185">
        <f t="shared" si="34"/>
        <v>19133.04</v>
      </c>
      <c r="P707" s="215">
        <f t="shared" si="35"/>
        <v>5934.0320281437725</v>
      </c>
      <c r="Q707" s="215" cm="1">
        <f t="array" ref="Q707">IF(P707="-",0,P707/(1+'General inputs'!$H$32)^IFERROR(INDEX('MP Calculations'!$C$40:$C$130,MATCH(F707,'MP Calculations'!$D$40:$D$130,0),0),-1))</f>
        <v>8246.9172669032014</v>
      </c>
    </row>
    <row r="708" spans="3:17" x14ac:dyDescent="0.25">
      <c r="C708" s="159"/>
      <c r="D708" s="165" t="s">
        <v>754</v>
      </c>
      <c r="E708" s="161">
        <v>41821</v>
      </c>
      <c r="F708" s="172" t="str">
        <f t="shared" si="33"/>
        <v>2014-15</v>
      </c>
      <c r="G708" s="68"/>
      <c r="H708" s="167" t="s">
        <v>279</v>
      </c>
      <c r="I708" s="173">
        <v>89592.114709699614</v>
      </c>
      <c r="J708" s="168">
        <f>IFERROR(MIN('MP Calculations'!$E$30/I708,1),"-")</f>
        <v>0.31014580161562261</v>
      </c>
      <c r="K708" s="12"/>
      <c r="L708" s="159">
        <v>1</v>
      </c>
      <c r="M708" s="159" t="s">
        <v>409</v>
      </c>
      <c r="N708" s="159">
        <v>11721.23</v>
      </c>
      <c r="O708" s="185">
        <f t="shared" si="34"/>
        <v>11721.23</v>
      </c>
      <c r="P708" s="215">
        <f t="shared" si="35"/>
        <v>3635.2902742710839</v>
      </c>
      <c r="Q708" s="215" cm="1">
        <f t="array" ref="Q708">IF(P708="-",0,P708/(1+'General inputs'!$H$32)^IFERROR(INDEX('MP Calculations'!$C$40:$C$130,MATCH(F708,'MP Calculations'!$D$40:$D$130,0),0),-1))</f>
        <v>5052.2036266240912</v>
      </c>
    </row>
    <row r="709" spans="3:17" x14ac:dyDescent="0.25">
      <c r="C709" s="159"/>
      <c r="D709" s="165" t="s">
        <v>755</v>
      </c>
      <c r="E709" s="161">
        <v>41821</v>
      </c>
      <c r="F709" s="172" t="str">
        <f t="shared" si="33"/>
        <v>2014-15</v>
      </c>
      <c r="G709" s="68"/>
      <c r="H709" s="167" t="s">
        <v>279</v>
      </c>
      <c r="I709" s="173">
        <v>89592.114709699614</v>
      </c>
      <c r="J709" s="168">
        <f>IFERROR(MIN('MP Calculations'!$E$30/I709,1),"-")</f>
        <v>0.31014580161562261</v>
      </c>
      <c r="K709" s="12"/>
      <c r="L709" s="159">
        <v>1</v>
      </c>
      <c r="M709" s="159" t="s">
        <v>409</v>
      </c>
      <c r="N709" s="159">
        <v>37183.58</v>
      </c>
      <c r="O709" s="185">
        <f t="shared" si="34"/>
        <v>37183.58</v>
      </c>
      <c r="P709" s="215">
        <f t="shared" si="35"/>
        <v>11532.331226038634</v>
      </c>
      <c r="Q709" s="215" cm="1">
        <f t="array" ref="Q709">IF(P709="-",0,P709/(1+'General inputs'!$H$32)^IFERROR(INDEX('MP Calculations'!$C$40:$C$130,MATCH(F709,'MP Calculations'!$D$40:$D$130,0),0),-1))</f>
        <v>16027.244387053837</v>
      </c>
    </row>
    <row r="710" spans="3:17" x14ac:dyDescent="0.25">
      <c r="C710" s="159"/>
      <c r="D710" s="165" t="s">
        <v>756</v>
      </c>
      <c r="E710" s="161">
        <v>41821</v>
      </c>
      <c r="F710" s="172" t="str">
        <f t="shared" si="33"/>
        <v>2014-15</v>
      </c>
      <c r="G710" s="68"/>
      <c r="H710" s="167" t="s">
        <v>279</v>
      </c>
      <c r="I710" s="173">
        <v>89592.114709699614</v>
      </c>
      <c r="J710" s="168">
        <f>IFERROR(MIN('MP Calculations'!$E$30/I710,1),"-")</f>
        <v>0.31014580161562261</v>
      </c>
      <c r="K710" s="12"/>
      <c r="L710" s="159">
        <v>1</v>
      </c>
      <c r="M710" s="159" t="s">
        <v>409</v>
      </c>
      <c r="N710" s="159">
        <v>38458.35</v>
      </c>
      <c r="O710" s="185">
        <f t="shared" si="34"/>
        <v>38458.35</v>
      </c>
      <c r="P710" s="215">
        <f t="shared" si="35"/>
        <v>11927.695789564179</v>
      </c>
      <c r="Q710" s="215" cm="1">
        <f t="array" ref="Q710">IF(P710="-",0,P710/(1+'General inputs'!$H$32)^IFERROR(INDEX('MP Calculations'!$C$40:$C$130,MATCH(F710,'MP Calculations'!$D$40:$D$130,0),0),-1))</f>
        <v>16576.70870241251</v>
      </c>
    </row>
    <row r="711" spans="3:17" x14ac:dyDescent="0.25">
      <c r="C711" s="159"/>
      <c r="D711" s="165" t="s">
        <v>757</v>
      </c>
      <c r="E711" s="161">
        <v>41821</v>
      </c>
      <c r="F711" s="172" t="str">
        <f t="shared" si="33"/>
        <v>2014-15</v>
      </c>
      <c r="G711" s="68"/>
      <c r="H711" s="167" t="s">
        <v>279</v>
      </c>
      <c r="I711" s="173">
        <v>89592.114709699614</v>
      </c>
      <c r="J711" s="168">
        <f>IFERROR(MIN('MP Calculations'!$E$30/I711,1),"-")</f>
        <v>0.31014580161562261</v>
      </c>
      <c r="K711" s="12"/>
      <c r="L711" s="159">
        <v>1</v>
      </c>
      <c r="M711" s="159" t="s">
        <v>409</v>
      </c>
      <c r="N711" s="159">
        <v>98311.81</v>
      </c>
      <c r="O711" s="185">
        <f t="shared" si="34"/>
        <v>98311.81</v>
      </c>
      <c r="P711" s="215">
        <f t="shared" si="35"/>
        <v>30490.995120732783</v>
      </c>
      <c r="Q711" s="215" cm="1">
        <f t="array" ref="Q711">IF(P711="-",0,P711/(1+'General inputs'!$H$32)^IFERROR(INDEX('MP Calculations'!$C$40:$C$130,MATCH(F711,'MP Calculations'!$D$40:$D$130,0),0),-1))</f>
        <v>42375.355062734765</v>
      </c>
    </row>
    <row r="712" spans="3:17" x14ac:dyDescent="0.25">
      <c r="C712" s="159"/>
      <c r="D712" s="165" t="s">
        <v>758</v>
      </c>
      <c r="E712" s="161">
        <v>41823</v>
      </c>
      <c r="F712" s="172" t="str">
        <f t="shared" si="33"/>
        <v>2014-15</v>
      </c>
      <c r="G712" s="68"/>
      <c r="H712" s="167" t="s">
        <v>279</v>
      </c>
      <c r="I712" s="173">
        <v>89592.114709699614</v>
      </c>
      <c r="J712" s="168">
        <f>IFERROR(MIN('MP Calculations'!$E$30/I712,1),"-")</f>
        <v>0.31014580161562261</v>
      </c>
      <c r="K712" s="12"/>
      <c r="L712" s="159">
        <v>1</v>
      </c>
      <c r="M712" s="159" t="s">
        <v>409</v>
      </c>
      <c r="N712" s="159">
        <v>366.73</v>
      </c>
      <c r="O712" s="185">
        <f t="shared" si="34"/>
        <v>366.73</v>
      </c>
      <c r="P712" s="215">
        <f t="shared" si="35"/>
        <v>113.73976982649728</v>
      </c>
      <c r="Q712" s="215" cm="1">
        <f t="array" ref="Q712">IF(P712="-",0,P712/(1+'General inputs'!$H$32)^IFERROR(INDEX('MP Calculations'!$C$40:$C$130,MATCH(F712,'MP Calculations'!$D$40:$D$130,0),0),-1))</f>
        <v>158.07169008643743</v>
      </c>
    </row>
    <row r="713" spans="3:17" x14ac:dyDescent="0.25">
      <c r="C713" s="159"/>
      <c r="D713" s="165" t="s">
        <v>759</v>
      </c>
      <c r="E713" s="161">
        <v>41831</v>
      </c>
      <c r="F713" s="172" t="str">
        <f t="shared" si="33"/>
        <v>2014-15</v>
      </c>
      <c r="G713" s="68"/>
      <c r="H713" s="167" t="s">
        <v>279</v>
      </c>
      <c r="I713" s="173">
        <v>89592.114709699614</v>
      </c>
      <c r="J713" s="168">
        <f>IFERROR(MIN('MP Calculations'!$E$30/I713,1),"-")</f>
        <v>0.31014580161562261</v>
      </c>
      <c r="K713" s="12"/>
      <c r="L713" s="159">
        <v>1</v>
      </c>
      <c r="M713" s="159" t="s">
        <v>409</v>
      </c>
      <c r="N713" s="159">
        <v>112136.82</v>
      </c>
      <c r="O713" s="185">
        <f t="shared" si="34"/>
        <v>112136.82</v>
      </c>
      <c r="P713" s="215">
        <f t="shared" si="35"/>
        <v>34778.763929526787</v>
      </c>
      <c r="Q713" s="215" cm="1">
        <f t="array" ref="Q713">IF(P713="-",0,P713/(1+'General inputs'!$H$32)^IFERROR(INDEX('MP Calculations'!$C$40:$C$130,MATCH(F713,'MP Calculations'!$D$40:$D$130,0),0),-1))</f>
        <v>48334.351316550652</v>
      </c>
    </row>
    <row r="714" spans="3:17" x14ac:dyDescent="0.25">
      <c r="C714" s="159"/>
      <c r="D714" s="165" t="s">
        <v>760</v>
      </c>
      <c r="E714" s="161">
        <v>41871</v>
      </c>
      <c r="F714" s="172" t="str">
        <f t="shared" si="33"/>
        <v>2014-15</v>
      </c>
      <c r="G714" s="68"/>
      <c r="H714" s="167" t="s">
        <v>279</v>
      </c>
      <c r="I714" s="173">
        <v>89592.114709699614</v>
      </c>
      <c r="J714" s="168">
        <f>IFERROR(MIN('MP Calculations'!$E$30/I714,1),"-")</f>
        <v>0.31014580161562261</v>
      </c>
      <c r="K714" s="12"/>
      <c r="L714" s="159">
        <v>1</v>
      </c>
      <c r="M714" s="159" t="s">
        <v>409</v>
      </c>
      <c r="N714" s="159">
        <v>70509.19</v>
      </c>
      <c r="O714" s="185">
        <f t="shared" si="34"/>
        <v>70509.19</v>
      </c>
      <c r="P714" s="215">
        <f t="shared" si="35"/>
        <v>21868.129253818242</v>
      </c>
      <c r="Q714" s="215" cm="1">
        <f t="array" ref="Q714">IF(P714="-",0,P714/(1+'General inputs'!$H$32)^IFERROR(INDEX('MP Calculations'!$C$40:$C$130,MATCH(F714,'MP Calculations'!$D$40:$D$130,0),0),-1))</f>
        <v>30391.587352891045</v>
      </c>
    </row>
    <row r="715" spans="3:17" x14ac:dyDescent="0.25">
      <c r="C715" s="159"/>
      <c r="D715" s="165" t="s">
        <v>761</v>
      </c>
      <c r="E715" s="161">
        <v>41876</v>
      </c>
      <c r="F715" s="172" t="str">
        <f t="shared" si="33"/>
        <v>2014-15</v>
      </c>
      <c r="G715" s="68"/>
      <c r="H715" s="167" t="s">
        <v>279</v>
      </c>
      <c r="I715" s="173">
        <v>89592.114709699614</v>
      </c>
      <c r="J715" s="168">
        <f>IFERROR(MIN('MP Calculations'!$E$30/I715,1),"-")</f>
        <v>0.31014580161562261</v>
      </c>
      <c r="K715" s="12"/>
      <c r="L715" s="159">
        <v>1</v>
      </c>
      <c r="M715" s="159" t="s">
        <v>409</v>
      </c>
      <c r="N715" s="159">
        <v>5627.88</v>
      </c>
      <c r="O715" s="185">
        <f t="shared" si="34"/>
        <v>5627.88</v>
      </c>
      <c r="P715" s="215">
        <f t="shared" si="35"/>
        <v>1745.4633539965303</v>
      </c>
      <c r="Q715" s="215" cm="1">
        <f t="array" ref="Q715">IF(P715="-",0,P715/(1+'General inputs'!$H$32)^IFERROR(INDEX('MP Calculations'!$C$40:$C$130,MATCH(F715,'MP Calculations'!$D$40:$D$130,0),0),-1))</f>
        <v>2425.7860093356408</v>
      </c>
    </row>
    <row r="716" spans="3:17" x14ac:dyDescent="0.25">
      <c r="C716" s="159"/>
      <c r="D716" s="165" t="s">
        <v>762</v>
      </c>
      <c r="E716" s="161">
        <v>41911</v>
      </c>
      <c r="F716" s="172" t="str">
        <f t="shared" si="33"/>
        <v>2014-15</v>
      </c>
      <c r="G716" s="68"/>
      <c r="H716" s="167" t="s">
        <v>279</v>
      </c>
      <c r="I716" s="173">
        <v>89592.114709699614</v>
      </c>
      <c r="J716" s="168">
        <f>IFERROR(MIN('MP Calculations'!$E$30/I716,1),"-")</f>
        <v>0.31014580161562261</v>
      </c>
      <c r="K716" s="12"/>
      <c r="L716" s="159">
        <v>1</v>
      </c>
      <c r="M716" s="159" t="s">
        <v>409</v>
      </c>
      <c r="N716" s="159">
        <v>15971.48</v>
      </c>
      <c r="O716" s="185">
        <f t="shared" si="34"/>
        <v>15971.48</v>
      </c>
      <c r="P716" s="215">
        <f t="shared" si="35"/>
        <v>4953.4874675878837</v>
      </c>
      <c r="Q716" s="215" cm="1">
        <f t="array" ref="Q716">IF(P716="-",0,P716/(1+'General inputs'!$H$32)^IFERROR(INDEX('MP Calculations'!$C$40:$C$130,MATCH(F716,'MP Calculations'!$D$40:$D$130,0),0),-1))</f>
        <v>6884.1895584809899</v>
      </c>
    </row>
    <row r="717" spans="3:17" x14ac:dyDescent="0.25">
      <c r="C717" s="159"/>
      <c r="D717" s="165" t="s">
        <v>763</v>
      </c>
      <c r="E717" s="161">
        <v>41914</v>
      </c>
      <c r="F717" s="172" t="str">
        <f t="shared" si="33"/>
        <v>2014-15</v>
      </c>
      <c r="G717" s="68"/>
      <c r="H717" s="167" t="s">
        <v>279</v>
      </c>
      <c r="I717" s="173">
        <v>89592.114709699614</v>
      </c>
      <c r="J717" s="168">
        <f>IFERROR(MIN('MP Calculations'!$E$30/I717,1),"-")</f>
        <v>0.31014580161562261</v>
      </c>
      <c r="K717" s="12"/>
      <c r="L717" s="159">
        <v>1</v>
      </c>
      <c r="M717" s="159" t="s">
        <v>409</v>
      </c>
      <c r="N717" s="159">
        <v>208426.79</v>
      </c>
      <c r="O717" s="185">
        <f t="shared" si="34"/>
        <v>208426.79</v>
      </c>
      <c r="P717" s="215">
        <f t="shared" si="35"/>
        <v>64642.693862721033</v>
      </c>
      <c r="Q717" s="215" cm="1">
        <f t="array" ref="Q717">IF(P717="-",0,P717/(1+'General inputs'!$H$32)^IFERROR(INDEX('MP Calculations'!$C$40:$C$130,MATCH(F717,'MP Calculations'!$D$40:$D$130,0),0),-1))</f>
        <v>89838.232363294461</v>
      </c>
    </row>
    <row r="718" spans="3:17" x14ac:dyDescent="0.25">
      <c r="C718" s="159"/>
      <c r="D718" s="165" t="s">
        <v>764</v>
      </c>
      <c r="E718" s="161">
        <v>41914</v>
      </c>
      <c r="F718" s="172" t="str">
        <f t="shared" si="33"/>
        <v>2014-15</v>
      </c>
      <c r="G718" s="68"/>
      <c r="H718" s="167" t="s">
        <v>279</v>
      </c>
      <c r="I718" s="173">
        <v>89592.114709699614</v>
      </c>
      <c r="J718" s="168">
        <f>IFERROR(MIN('MP Calculations'!$E$30/I718,1),"-")</f>
        <v>0.31014580161562261</v>
      </c>
      <c r="K718" s="12"/>
      <c r="L718" s="159">
        <v>1</v>
      </c>
      <c r="M718" s="159" t="s">
        <v>409</v>
      </c>
      <c r="N718" s="159">
        <v>143387.22</v>
      </c>
      <c r="O718" s="185">
        <f t="shared" si="34"/>
        <v>143387.22</v>
      </c>
      <c r="P718" s="215">
        <f t="shared" si="35"/>
        <v>44470.944288335631</v>
      </c>
      <c r="Q718" s="215" cm="1">
        <f t="array" ref="Q718">IF(P718="-",0,P718/(1+'General inputs'!$H$32)^IFERROR(INDEX('MP Calculations'!$C$40:$C$130,MATCH(F718,'MP Calculations'!$D$40:$D$130,0),0),-1))</f>
        <v>61804.216186829057</v>
      </c>
    </row>
    <row r="719" spans="3:17" x14ac:dyDescent="0.25">
      <c r="C719" s="159"/>
      <c r="D719" s="165" t="s">
        <v>765</v>
      </c>
      <c r="E719" s="161">
        <v>41914</v>
      </c>
      <c r="F719" s="172" t="str">
        <f t="shared" si="33"/>
        <v>2014-15</v>
      </c>
      <c r="G719" s="68"/>
      <c r="H719" s="167" t="s">
        <v>279</v>
      </c>
      <c r="I719" s="173">
        <v>89592.114709699614</v>
      </c>
      <c r="J719" s="168">
        <f>IFERROR(MIN('MP Calculations'!$E$30/I719,1),"-")</f>
        <v>0.31014580161562261</v>
      </c>
      <c r="K719" s="12"/>
      <c r="L719" s="159">
        <v>1</v>
      </c>
      <c r="M719" s="159" t="s">
        <v>409</v>
      </c>
      <c r="N719" s="159">
        <v>141354.47</v>
      </c>
      <c r="O719" s="185">
        <f t="shared" si="34"/>
        <v>141354.47</v>
      </c>
      <c r="P719" s="215">
        <f t="shared" si="35"/>
        <v>43840.495410101481</v>
      </c>
      <c r="Q719" s="215" cm="1">
        <f t="array" ref="Q719">IF(P719="-",0,P719/(1+'General inputs'!$H$32)^IFERROR(INDEX('MP Calculations'!$C$40:$C$130,MATCH(F719,'MP Calculations'!$D$40:$D$130,0),0),-1))</f>
        <v>60928.0396318071</v>
      </c>
    </row>
    <row r="720" spans="3:17" x14ac:dyDescent="0.25">
      <c r="C720" s="159"/>
      <c r="D720" s="165" t="s">
        <v>766</v>
      </c>
      <c r="E720" s="161">
        <v>41914</v>
      </c>
      <c r="F720" s="172" t="str">
        <f t="shared" si="33"/>
        <v>2014-15</v>
      </c>
      <c r="G720" s="68"/>
      <c r="H720" s="167" t="s">
        <v>279</v>
      </c>
      <c r="I720" s="173">
        <v>89592.114709699614</v>
      </c>
      <c r="J720" s="168">
        <f>IFERROR(MIN('MP Calculations'!$E$30/I720,1),"-")</f>
        <v>0.31014580161562261</v>
      </c>
      <c r="K720" s="12"/>
      <c r="L720" s="159">
        <v>1</v>
      </c>
      <c r="M720" s="159" t="s">
        <v>409</v>
      </c>
      <c r="N720" s="159">
        <v>143509.19</v>
      </c>
      <c r="O720" s="185">
        <f t="shared" si="34"/>
        <v>143509.19</v>
      </c>
      <c r="P720" s="215">
        <f t="shared" si="35"/>
        <v>44508.772771758689</v>
      </c>
      <c r="Q720" s="215" cm="1">
        <f t="array" ref="Q720">IF(P720="-",0,P720/(1+'General inputs'!$H$32)^IFERROR(INDEX('MP Calculations'!$C$40:$C$130,MATCH(F720,'MP Calculations'!$D$40:$D$130,0),0),-1))</f>
        <v>61856.788935281169</v>
      </c>
    </row>
    <row r="721" spans="3:17" x14ac:dyDescent="0.25">
      <c r="C721" s="159"/>
      <c r="D721" s="165" t="s">
        <v>767</v>
      </c>
      <c r="E721" s="161">
        <v>41914</v>
      </c>
      <c r="F721" s="172" t="str">
        <f t="shared" si="33"/>
        <v>2014-15</v>
      </c>
      <c r="G721" s="68"/>
      <c r="H721" s="167" t="s">
        <v>279</v>
      </c>
      <c r="I721" s="173">
        <v>89592.114709699614</v>
      </c>
      <c r="J721" s="168">
        <f>IFERROR(MIN('MP Calculations'!$E$30/I721,1),"-")</f>
        <v>0.31014580161562261</v>
      </c>
      <c r="K721" s="12"/>
      <c r="L721" s="159">
        <v>1</v>
      </c>
      <c r="M721" s="159" t="s">
        <v>409</v>
      </c>
      <c r="N721" s="159">
        <v>139168.93</v>
      </c>
      <c r="O721" s="185">
        <f t="shared" si="34"/>
        <v>139168.93</v>
      </c>
      <c r="P721" s="215">
        <f t="shared" si="35"/>
        <v>43162.65935483847</v>
      </c>
      <c r="Q721" s="215" cm="1">
        <f t="array" ref="Q721">IF(P721="-",0,P721/(1+'General inputs'!$H$32)^IFERROR(INDEX('MP Calculations'!$C$40:$C$130,MATCH(F721,'MP Calculations'!$D$40:$D$130,0),0),-1))</f>
        <v>59986.00597884303</v>
      </c>
    </row>
    <row r="722" spans="3:17" x14ac:dyDescent="0.25">
      <c r="C722" s="159"/>
      <c r="D722" s="165" t="s">
        <v>768</v>
      </c>
      <c r="E722" s="161">
        <v>41914</v>
      </c>
      <c r="F722" s="172" t="str">
        <f t="shared" si="33"/>
        <v>2014-15</v>
      </c>
      <c r="G722" s="68"/>
      <c r="H722" s="167" t="s">
        <v>279</v>
      </c>
      <c r="I722" s="173">
        <v>89592.114709699614</v>
      </c>
      <c r="J722" s="168">
        <f>IFERROR(MIN('MP Calculations'!$E$30/I722,1),"-")</f>
        <v>0.31014580161562261</v>
      </c>
      <c r="K722" s="12"/>
      <c r="L722" s="159">
        <v>1</v>
      </c>
      <c r="M722" s="159" t="s">
        <v>409</v>
      </c>
      <c r="N722" s="159">
        <v>8444.33</v>
      </c>
      <c r="O722" s="185">
        <f t="shared" si="34"/>
        <v>8444.33</v>
      </c>
      <c r="P722" s="215">
        <f t="shared" si="35"/>
        <v>2618.9734969568503</v>
      </c>
      <c r="Q722" s="215" cm="1">
        <f t="array" ref="Q722">IF(P722="-",0,P722/(1+'General inputs'!$H$32)^IFERROR(INDEX('MP Calculations'!$C$40:$C$130,MATCH(F722,'MP Calculations'!$D$40:$D$130,0),0),-1))</f>
        <v>3639.7608997017046</v>
      </c>
    </row>
    <row r="723" spans="3:17" x14ac:dyDescent="0.25">
      <c r="C723" s="159"/>
      <c r="D723" s="165" t="s">
        <v>769</v>
      </c>
      <c r="E723" s="161">
        <v>41914</v>
      </c>
      <c r="F723" s="172" t="str">
        <f t="shared" si="33"/>
        <v>2014-15</v>
      </c>
      <c r="G723" s="68"/>
      <c r="H723" s="167" t="s">
        <v>279</v>
      </c>
      <c r="I723" s="173">
        <v>89592.114709699614</v>
      </c>
      <c r="J723" s="168">
        <f>IFERROR(MIN('MP Calculations'!$E$30/I723,1),"-")</f>
        <v>0.31014580161562261</v>
      </c>
      <c r="K723" s="12"/>
      <c r="L723" s="159">
        <v>1</v>
      </c>
      <c r="M723" s="159" t="s">
        <v>409</v>
      </c>
      <c r="N723" s="159">
        <v>775821.67</v>
      </c>
      <c r="O723" s="185">
        <f t="shared" si="34"/>
        <v>775821.67</v>
      </c>
      <c r="P723" s="215">
        <f t="shared" si="35"/>
        <v>240617.83375292105</v>
      </c>
      <c r="Q723" s="215" cm="1">
        <f t="array" ref="Q723">IF(P723="-",0,P723/(1+'General inputs'!$H$32)^IFERROR(INDEX('MP Calculations'!$C$40:$C$130,MATCH(F723,'MP Calculations'!$D$40:$D$130,0),0),-1))</f>
        <v>334402.53751419939</v>
      </c>
    </row>
    <row r="724" spans="3:17" x14ac:dyDescent="0.25">
      <c r="C724" s="159"/>
      <c r="D724" s="165" t="s">
        <v>770</v>
      </c>
      <c r="E724" s="161">
        <v>41914</v>
      </c>
      <c r="F724" s="172" t="str">
        <f t="shared" si="33"/>
        <v>2014-15</v>
      </c>
      <c r="G724" s="68"/>
      <c r="H724" s="167" t="s">
        <v>279</v>
      </c>
      <c r="I724" s="173">
        <v>89592.114709699614</v>
      </c>
      <c r="J724" s="168">
        <f>IFERROR(MIN('MP Calculations'!$E$30/I724,1),"-")</f>
        <v>0.31014580161562261</v>
      </c>
      <c r="K724" s="12"/>
      <c r="L724" s="159">
        <v>1</v>
      </c>
      <c r="M724" s="159" t="s">
        <v>409</v>
      </c>
      <c r="N724" s="159">
        <v>478380.12</v>
      </c>
      <c r="O724" s="185">
        <f t="shared" si="34"/>
        <v>478380.12</v>
      </c>
      <c r="P724" s="215">
        <f t="shared" si="35"/>
        <v>148367.58579437772</v>
      </c>
      <c r="Q724" s="215" cm="1">
        <f t="array" ref="Q724">IF(P724="-",0,P724/(1+'General inputs'!$H$32)^IFERROR(INDEX('MP Calculations'!$C$40:$C$130,MATCH(F724,'MP Calculations'!$D$40:$D$130,0),0),-1))</f>
        <v>206196.25902476683</v>
      </c>
    </row>
    <row r="725" spans="3:17" x14ac:dyDescent="0.25">
      <c r="C725" s="159"/>
      <c r="D725" s="165" t="s">
        <v>281</v>
      </c>
      <c r="E725" s="161">
        <v>41925</v>
      </c>
      <c r="F725" s="172" t="str">
        <f t="shared" si="33"/>
        <v>2014-15</v>
      </c>
      <c r="G725" s="68"/>
      <c r="H725" s="167" t="s">
        <v>279</v>
      </c>
      <c r="I725" s="173">
        <v>89592.114709699614</v>
      </c>
      <c r="J725" s="168">
        <f>IFERROR(MIN('MP Calculations'!$E$30/I725,1),"-")</f>
        <v>0.31014580161562261</v>
      </c>
      <c r="K725" s="12"/>
      <c r="L725" s="159">
        <v>5.0000200000000001</v>
      </c>
      <c r="M725" s="159" t="s">
        <v>408</v>
      </c>
      <c r="N725" s="159">
        <v>809</v>
      </c>
      <c r="O725" s="185">
        <f t="shared" si="34"/>
        <v>4045.0161800000001</v>
      </c>
      <c r="P725" s="215">
        <f t="shared" si="35"/>
        <v>1254.5447856942635</v>
      </c>
      <c r="Q725" s="215" cm="1">
        <f t="array" ref="Q725">IF(P725="-",0,P725/(1+'General inputs'!$H$32)^IFERROR(INDEX('MP Calculations'!$C$40:$C$130,MATCH(F725,'MP Calculations'!$D$40:$D$130,0),0),-1))</f>
        <v>1743.5239658593105</v>
      </c>
    </row>
    <row r="726" spans="3:17" x14ac:dyDescent="0.25">
      <c r="C726" s="159"/>
      <c r="D726" s="165" t="s">
        <v>771</v>
      </c>
      <c r="E726" s="161">
        <v>41931</v>
      </c>
      <c r="F726" s="172" t="str">
        <f t="shared" ref="F726:F789" si="36">IF(E726="","-",IF(OR(E726&lt;$E$15,E726&gt;$E$16),"ERROR - date outside of range",IF(MONTH(E726)&gt;=7,YEAR(E726)&amp;"-"&amp;IF(YEAR(E726)=1999,"00",IF(AND(YEAR(E726)&gt;=2000,YEAR(E726)&lt;2009),"0","")&amp;RIGHT(YEAR(E726),2)+1),RIGHT(YEAR(E726),4)-1&amp;"-"&amp;RIGHT(YEAR(E726),2))))</f>
        <v>2014-15</v>
      </c>
      <c r="G726" s="68"/>
      <c r="H726" s="167" t="s">
        <v>279</v>
      </c>
      <c r="I726" s="173">
        <v>89592.114709699614</v>
      </c>
      <c r="J726" s="168">
        <f>IFERROR(MIN('MP Calculations'!$E$30/I726,1),"-")</f>
        <v>0.31014580161562261</v>
      </c>
      <c r="K726" s="12"/>
      <c r="L726" s="159">
        <v>1</v>
      </c>
      <c r="M726" s="159" t="s">
        <v>409</v>
      </c>
      <c r="N726" s="159">
        <v>492.84</v>
      </c>
      <c r="O726" s="185">
        <f t="shared" ref="O726:O789" si="37">IF(N726="","-",L726*N726)</f>
        <v>492.84</v>
      </c>
      <c r="P726" s="215">
        <f t="shared" ref="P726:P789" si="38">IF(O726="-","-",IF(OR(E726&lt;$E$15,E726&gt;$E$16),0,O726*J726))</f>
        <v>152.85225686824344</v>
      </c>
      <c r="Q726" s="215" cm="1">
        <f t="array" ref="Q726">IF(P726="-",0,P726/(1+'General inputs'!$H$32)^IFERROR(INDEX('MP Calculations'!$C$40:$C$130,MATCH(F726,'MP Calculations'!$D$40:$D$130,0),0),-1))</f>
        <v>212.42890339541304</v>
      </c>
    </row>
    <row r="727" spans="3:17" x14ac:dyDescent="0.25">
      <c r="C727" s="159"/>
      <c r="D727" s="165" t="s">
        <v>281</v>
      </c>
      <c r="E727" s="161">
        <v>41964</v>
      </c>
      <c r="F727" s="172" t="str">
        <f t="shared" si="36"/>
        <v>2014-15</v>
      </c>
      <c r="G727" s="68"/>
      <c r="H727" s="167" t="s">
        <v>279</v>
      </c>
      <c r="I727" s="173">
        <v>89592.114709699614</v>
      </c>
      <c r="J727" s="168">
        <f>IFERROR(MIN('MP Calculations'!$E$30/I727,1),"-")</f>
        <v>0.31014580161562261</v>
      </c>
      <c r="K727" s="12"/>
      <c r="L727" s="159">
        <v>6.0056200000000004</v>
      </c>
      <c r="M727" s="159" t="s">
        <v>408</v>
      </c>
      <c r="N727" s="159">
        <v>809</v>
      </c>
      <c r="O727" s="185">
        <f t="shared" si="37"/>
        <v>4858.5465800000002</v>
      </c>
      <c r="P727" s="215">
        <f t="shared" si="38"/>
        <v>1506.8578237409417</v>
      </c>
      <c r="Q727" s="215" cm="1">
        <f t="array" ref="Q727">IF(P727="-",0,P727/(1+'General inputs'!$H$32)^IFERROR(INDEX('MP Calculations'!$C$40:$C$130,MATCH(F727,'MP Calculations'!$D$40:$D$130,0),0),-1))</f>
        <v>2094.1801032483859</v>
      </c>
    </row>
    <row r="728" spans="3:17" x14ac:dyDescent="0.25">
      <c r="C728" s="159"/>
      <c r="D728" s="165" t="s">
        <v>772</v>
      </c>
      <c r="E728" s="161">
        <v>41964</v>
      </c>
      <c r="F728" s="172" t="str">
        <f t="shared" si="36"/>
        <v>2014-15</v>
      </c>
      <c r="G728" s="68"/>
      <c r="H728" s="167" t="s">
        <v>279</v>
      </c>
      <c r="I728" s="173">
        <v>89592.114709699614</v>
      </c>
      <c r="J728" s="168">
        <f>IFERROR(MIN('MP Calculations'!$E$30/I728,1),"-")</f>
        <v>0.31014580161562261</v>
      </c>
      <c r="K728" s="12"/>
      <c r="L728" s="159">
        <v>1</v>
      </c>
      <c r="M728" s="159" t="s">
        <v>409</v>
      </c>
      <c r="N728" s="159">
        <v>45656.18</v>
      </c>
      <c r="O728" s="185">
        <f t="shared" si="37"/>
        <v>45656.18</v>
      </c>
      <c r="P728" s="215">
        <f t="shared" si="38"/>
        <v>14160.072544807157</v>
      </c>
      <c r="Q728" s="215" cm="1">
        <f t="array" ref="Q728">IF(P728="-",0,P728/(1+'General inputs'!$H$32)^IFERROR(INDEX('MP Calculations'!$C$40:$C$130,MATCH(F728,'MP Calculations'!$D$40:$D$130,0),0),-1))</f>
        <v>19679.19050934094</v>
      </c>
    </row>
    <row r="729" spans="3:17" x14ac:dyDescent="0.25">
      <c r="C729" s="159"/>
      <c r="D729" s="165" t="s">
        <v>773</v>
      </c>
      <c r="E729" s="161">
        <v>41964</v>
      </c>
      <c r="F729" s="172" t="str">
        <f t="shared" si="36"/>
        <v>2014-15</v>
      </c>
      <c r="G729" s="68"/>
      <c r="H729" s="167" t="s">
        <v>279</v>
      </c>
      <c r="I729" s="173">
        <v>89592.114709699614</v>
      </c>
      <c r="J729" s="168">
        <f>IFERROR(MIN('MP Calculations'!$E$30/I729,1),"-")</f>
        <v>0.31014580161562261</v>
      </c>
      <c r="K729" s="12"/>
      <c r="L729" s="159">
        <v>1</v>
      </c>
      <c r="M729" s="159" t="s">
        <v>409</v>
      </c>
      <c r="N729" s="159">
        <v>389338.79</v>
      </c>
      <c r="O729" s="185">
        <f t="shared" si="37"/>
        <v>389338.79</v>
      </c>
      <c r="P729" s="215">
        <f t="shared" si="38"/>
        <v>120751.79112460655</v>
      </c>
      <c r="Q729" s="215" cm="1">
        <f t="array" ref="Q729">IF(P729="-",0,P729/(1+'General inputs'!$H$32)^IFERROR(INDEX('MP Calculations'!$C$40:$C$130,MATCH(F729,'MP Calculations'!$D$40:$D$130,0),0),-1))</f>
        <v>167816.76042731313</v>
      </c>
    </row>
    <row r="730" spans="3:17" x14ac:dyDescent="0.25">
      <c r="C730" s="159"/>
      <c r="D730" s="165" t="s">
        <v>774</v>
      </c>
      <c r="E730" s="161">
        <v>41964</v>
      </c>
      <c r="F730" s="172" t="str">
        <f t="shared" si="36"/>
        <v>2014-15</v>
      </c>
      <c r="G730" s="68"/>
      <c r="H730" s="167" t="s">
        <v>279</v>
      </c>
      <c r="I730" s="173">
        <v>89592.114709699614</v>
      </c>
      <c r="J730" s="168">
        <f>IFERROR(MIN('MP Calculations'!$E$30/I730,1),"-")</f>
        <v>0.31014580161562261</v>
      </c>
      <c r="K730" s="12"/>
      <c r="L730" s="159">
        <v>1</v>
      </c>
      <c r="M730" s="159" t="s">
        <v>409</v>
      </c>
      <c r="N730" s="159">
        <v>81698.25</v>
      </c>
      <c r="O730" s="185">
        <f t="shared" si="37"/>
        <v>81698.25</v>
      </c>
      <c r="P730" s="215">
        <f t="shared" si="38"/>
        <v>25338.36923684354</v>
      </c>
      <c r="Q730" s="215" cm="1">
        <f t="array" ref="Q730">IF(P730="-",0,P730/(1+'General inputs'!$H$32)^IFERROR(INDEX('MP Calculations'!$C$40:$C$130,MATCH(F730,'MP Calculations'!$D$40:$D$130,0),0),-1))</f>
        <v>35214.409659979516</v>
      </c>
    </row>
    <row r="731" spans="3:17" x14ac:dyDescent="0.25">
      <c r="C731" s="159"/>
      <c r="D731" s="165" t="s">
        <v>775</v>
      </c>
      <c r="E731" s="161">
        <v>41974</v>
      </c>
      <c r="F731" s="172" t="str">
        <f t="shared" si="36"/>
        <v>2014-15</v>
      </c>
      <c r="G731" s="68"/>
      <c r="H731" s="167" t="s">
        <v>279</v>
      </c>
      <c r="I731" s="173">
        <v>89592.114709699614</v>
      </c>
      <c r="J731" s="168">
        <f>IFERROR(MIN('MP Calculations'!$E$30/I731,1),"-")</f>
        <v>0.31014580161562261</v>
      </c>
      <c r="K731" s="12"/>
      <c r="L731" s="159">
        <v>1</v>
      </c>
      <c r="M731" s="159" t="s">
        <v>409</v>
      </c>
      <c r="N731" s="159">
        <v>264.85000000000002</v>
      </c>
      <c r="O731" s="185">
        <f t="shared" si="37"/>
        <v>264.85000000000002</v>
      </c>
      <c r="P731" s="215">
        <f t="shared" si="38"/>
        <v>82.142115557897654</v>
      </c>
      <c r="Q731" s="215" cm="1">
        <f t="array" ref="Q731">IF(P731="-",0,P731/(1+'General inputs'!$H$32)^IFERROR(INDEX('MP Calculations'!$C$40:$C$130,MATCH(F731,'MP Calculations'!$D$40:$D$130,0),0),-1))</f>
        <v>114.15833752186337</v>
      </c>
    </row>
    <row r="732" spans="3:17" x14ac:dyDescent="0.25">
      <c r="C732" s="159"/>
      <c r="D732" s="165" t="s">
        <v>776</v>
      </c>
      <c r="E732" s="161">
        <v>41981</v>
      </c>
      <c r="F732" s="172" t="str">
        <f t="shared" si="36"/>
        <v>2014-15</v>
      </c>
      <c r="G732" s="68"/>
      <c r="H732" s="167" t="s">
        <v>279</v>
      </c>
      <c r="I732" s="173">
        <v>89592.114709699614</v>
      </c>
      <c r="J732" s="168">
        <f>IFERROR(MIN('MP Calculations'!$E$30/I732,1),"-")</f>
        <v>0.31014580161562261</v>
      </c>
      <c r="K732" s="12"/>
      <c r="L732" s="159">
        <v>1</v>
      </c>
      <c r="M732" s="159" t="s">
        <v>409</v>
      </c>
      <c r="N732" s="159">
        <v>8884.35</v>
      </c>
      <c r="O732" s="185">
        <f t="shared" si="37"/>
        <v>8884.35</v>
      </c>
      <c r="P732" s="215">
        <f t="shared" si="38"/>
        <v>2755.4438525837568</v>
      </c>
      <c r="Q732" s="215" cm="1">
        <f t="array" ref="Q732">IF(P732="-",0,P732/(1+'General inputs'!$H$32)^IFERROR(INDEX('MP Calculations'!$C$40:$C$130,MATCH(F732,'MP Calculations'!$D$40:$D$130,0),0),-1))</f>
        <v>3829.4227901165445</v>
      </c>
    </row>
    <row r="733" spans="3:17" x14ac:dyDescent="0.25">
      <c r="C733" s="159"/>
      <c r="D733" s="165" t="s">
        <v>777</v>
      </c>
      <c r="E733" s="161">
        <v>42040</v>
      </c>
      <c r="F733" s="172" t="str">
        <f t="shared" si="36"/>
        <v>2014-15</v>
      </c>
      <c r="G733" s="68"/>
      <c r="H733" s="167" t="s">
        <v>279</v>
      </c>
      <c r="I733" s="173">
        <v>89592.114709699614</v>
      </c>
      <c r="J733" s="168">
        <f>IFERROR(MIN('MP Calculations'!$E$30/I733,1),"-")</f>
        <v>0.31014580161562261</v>
      </c>
      <c r="K733" s="12"/>
      <c r="L733" s="159">
        <v>1</v>
      </c>
      <c r="M733" s="159" t="s">
        <v>409</v>
      </c>
      <c r="N733" s="159">
        <v>43021.16</v>
      </c>
      <c r="O733" s="185">
        <f t="shared" si="37"/>
        <v>43021.16</v>
      </c>
      <c r="P733" s="215">
        <f t="shared" si="38"/>
        <v>13342.832154633959</v>
      </c>
      <c r="Q733" s="215" cm="1">
        <f t="array" ref="Q733">IF(P733="-",0,P733/(1+'General inputs'!$H$32)^IFERROR(INDEX('MP Calculations'!$C$40:$C$130,MATCH(F733,'MP Calculations'!$D$40:$D$130,0),0),-1))</f>
        <v>18543.417420661084</v>
      </c>
    </row>
    <row r="734" spans="3:17" x14ac:dyDescent="0.25">
      <c r="C734" s="159"/>
      <c r="D734" s="165" t="s">
        <v>778</v>
      </c>
      <c r="E734" s="161">
        <v>42040</v>
      </c>
      <c r="F734" s="172" t="str">
        <f t="shared" si="36"/>
        <v>2014-15</v>
      </c>
      <c r="G734" s="68"/>
      <c r="H734" s="167" t="s">
        <v>279</v>
      </c>
      <c r="I734" s="173">
        <v>89592.114709699614</v>
      </c>
      <c r="J734" s="168">
        <f>IFERROR(MIN('MP Calculations'!$E$30/I734,1),"-")</f>
        <v>0.31014580161562261</v>
      </c>
      <c r="K734" s="12"/>
      <c r="L734" s="159">
        <v>1</v>
      </c>
      <c r="M734" s="159" t="s">
        <v>409</v>
      </c>
      <c r="N734" s="159">
        <v>651173.68000000005</v>
      </c>
      <c r="O734" s="185">
        <f t="shared" si="37"/>
        <v>651173.68000000005</v>
      </c>
      <c r="P734" s="215">
        <f t="shared" si="38"/>
        <v>201958.78297459494</v>
      </c>
      <c r="Q734" s="215" cm="1">
        <f t="array" ref="Q734">IF(P734="-",0,P734/(1+'General inputs'!$H$32)^IFERROR(INDEX('MP Calculations'!$C$40:$C$130,MATCH(F734,'MP Calculations'!$D$40:$D$130,0),0),-1))</f>
        <v>280675.49460749049</v>
      </c>
    </row>
    <row r="735" spans="3:17" x14ac:dyDescent="0.25">
      <c r="C735" s="159"/>
      <c r="D735" s="165" t="s">
        <v>779</v>
      </c>
      <c r="E735" s="161">
        <v>42040</v>
      </c>
      <c r="F735" s="172" t="str">
        <f t="shared" si="36"/>
        <v>2014-15</v>
      </c>
      <c r="G735" s="68"/>
      <c r="H735" s="167" t="s">
        <v>279</v>
      </c>
      <c r="I735" s="173">
        <v>89592.114709699614</v>
      </c>
      <c r="J735" s="168">
        <f>IFERROR(MIN('MP Calculations'!$E$30/I735,1),"-")</f>
        <v>0.31014580161562261</v>
      </c>
      <c r="K735" s="12"/>
      <c r="L735" s="159">
        <v>1</v>
      </c>
      <c r="M735" s="159" t="s">
        <v>409</v>
      </c>
      <c r="N735" s="159">
        <v>38371.01</v>
      </c>
      <c r="O735" s="185">
        <f t="shared" si="37"/>
        <v>38371.01</v>
      </c>
      <c r="P735" s="215">
        <f t="shared" si="38"/>
        <v>11900.607655251071</v>
      </c>
      <c r="Q735" s="215" cm="1">
        <f t="array" ref="Q735">IF(P735="-",0,P735/(1+'General inputs'!$H$32)^IFERROR(INDEX('MP Calculations'!$C$40:$C$130,MATCH(F735,'MP Calculations'!$D$40:$D$130,0),0),-1))</f>
        <v>16539.062528354898</v>
      </c>
    </row>
    <row r="736" spans="3:17" x14ac:dyDescent="0.25">
      <c r="C736" s="159"/>
      <c r="D736" s="165" t="s">
        <v>780</v>
      </c>
      <c r="E736" s="161">
        <v>42040</v>
      </c>
      <c r="F736" s="172" t="str">
        <f t="shared" si="36"/>
        <v>2014-15</v>
      </c>
      <c r="G736" s="68"/>
      <c r="H736" s="167" t="s">
        <v>279</v>
      </c>
      <c r="I736" s="173">
        <v>89592.114709699614</v>
      </c>
      <c r="J736" s="168">
        <f>IFERROR(MIN('MP Calculations'!$E$30/I736,1),"-")</f>
        <v>0.31014580161562261</v>
      </c>
      <c r="K736" s="12"/>
      <c r="L736" s="159">
        <v>1</v>
      </c>
      <c r="M736" s="159" t="s">
        <v>409</v>
      </c>
      <c r="N736" s="159">
        <v>159061.26</v>
      </c>
      <c r="O736" s="185">
        <f t="shared" si="37"/>
        <v>159061.26</v>
      </c>
      <c r="P736" s="215">
        <f t="shared" si="38"/>
        <v>49332.181988690973</v>
      </c>
      <c r="Q736" s="215" cm="1">
        <f t="array" ref="Q736">IF(P736="-",0,P736/(1+'General inputs'!$H$32)^IFERROR(INDEX('MP Calculations'!$C$40:$C$130,MATCH(F736,'MP Calculations'!$D$40:$D$130,0),0),-1))</f>
        <v>68560.200134917381</v>
      </c>
    </row>
    <row r="737" spans="3:17" x14ac:dyDescent="0.25">
      <c r="C737" s="159"/>
      <c r="D737" s="165" t="s">
        <v>781</v>
      </c>
      <c r="E737" s="161">
        <v>42040</v>
      </c>
      <c r="F737" s="172" t="str">
        <f t="shared" si="36"/>
        <v>2014-15</v>
      </c>
      <c r="G737" s="68"/>
      <c r="H737" s="167" t="s">
        <v>279</v>
      </c>
      <c r="I737" s="173">
        <v>89592.114709699614</v>
      </c>
      <c r="J737" s="168">
        <f>IFERROR(MIN('MP Calculations'!$E$30/I737,1),"-")</f>
        <v>0.31014580161562261</v>
      </c>
      <c r="K737" s="12"/>
      <c r="L737" s="159">
        <v>1</v>
      </c>
      <c r="M737" s="159" t="s">
        <v>409</v>
      </c>
      <c r="N737" s="159">
        <v>12279.84</v>
      </c>
      <c r="O737" s="185">
        <f t="shared" si="37"/>
        <v>12279.84</v>
      </c>
      <c r="P737" s="215">
        <f t="shared" si="38"/>
        <v>3808.5408205115873</v>
      </c>
      <c r="Q737" s="215" cm="1">
        <f t="array" ref="Q737">IF(P737="-",0,P737/(1+'General inputs'!$H$32)^IFERROR(INDEX('MP Calculations'!$C$40:$C$130,MATCH(F737,'MP Calculations'!$D$40:$D$130,0),0),-1))</f>
        <v>5292.981383554762</v>
      </c>
    </row>
    <row r="738" spans="3:17" x14ac:dyDescent="0.25">
      <c r="C738" s="159"/>
      <c r="D738" s="165" t="s">
        <v>781</v>
      </c>
      <c r="E738" s="161">
        <v>42040</v>
      </c>
      <c r="F738" s="172" t="str">
        <f t="shared" si="36"/>
        <v>2014-15</v>
      </c>
      <c r="G738" s="68"/>
      <c r="H738" s="167" t="s">
        <v>279</v>
      </c>
      <c r="I738" s="173">
        <v>89592.114709699614</v>
      </c>
      <c r="J738" s="168">
        <f>IFERROR(MIN('MP Calculations'!$E$30/I738,1),"-")</f>
        <v>0.31014580161562261</v>
      </c>
      <c r="K738" s="12"/>
      <c r="L738" s="159">
        <v>1</v>
      </c>
      <c r="M738" s="159" t="s">
        <v>409</v>
      </c>
      <c r="N738" s="159">
        <v>749989.74</v>
      </c>
      <c r="O738" s="185">
        <f t="shared" si="37"/>
        <v>749989.74</v>
      </c>
      <c r="P738" s="215">
        <f t="shared" si="38"/>
        <v>232606.16911579238</v>
      </c>
      <c r="Q738" s="215" cm="1">
        <f t="array" ref="Q738">IF(P738="-",0,P738/(1+'General inputs'!$H$32)^IFERROR(INDEX('MP Calculations'!$C$40:$C$130,MATCH(F738,'MP Calculations'!$D$40:$D$130,0),0),-1))</f>
        <v>323268.19662773097</v>
      </c>
    </row>
    <row r="739" spans="3:17" x14ac:dyDescent="0.25">
      <c r="C739" s="159"/>
      <c r="D739" s="165" t="s">
        <v>782</v>
      </c>
      <c r="E739" s="161">
        <v>42040</v>
      </c>
      <c r="F739" s="172" t="str">
        <f t="shared" si="36"/>
        <v>2014-15</v>
      </c>
      <c r="G739" s="68"/>
      <c r="H739" s="167" t="s">
        <v>279</v>
      </c>
      <c r="I739" s="173">
        <v>89592.114709699614</v>
      </c>
      <c r="J739" s="168">
        <f>IFERROR(MIN('MP Calculations'!$E$30/I739,1),"-")</f>
        <v>0.31014580161562261</v>
      </c>
      <c r="K739" s="12"/>
      <c r="L739" s="159">
        <v>1</v>
      </c>
      <c r="M739" s="159" t="s">
        <v>409</v>
      </c>
      <c r="N739" s="159">
        <v>61493.59</v>
      </c>
      <c r="O739" s="185">
        <f t="shared" si="37"/>
        <v>61493.59</v>
      </c>
      <c r="P739" s="215">
        <f t="shared" si="38"/>
        <v>19071.978764772433</v>
      </c>
      <c r="Q739" s="215" cm="1">
        <f t="array" ref="Q739">IF(P739="-",0,P739/(1+'General inputs'!$H$32)^IFERROR(INDEX('MP Calculations'!$C$40:$C$130,MATCH(F739,'MP Calculations'!$D$40:$D$130,0),0),-1))</f>
        <v>26505.591854449998</v>
      </c>
    </row>
    <row r="740" spans="3:17" x14ac:dyDescent="0.25">
      <c r="C740" s="159"/>
      <c r="D740" s="165" t="s">
        <v>783</v>
      </c>
      <c r="E740" s="161">
        <v>42040</v>
      </c>
      <c r="F740" s="172" t="str">
        <f t="shared" si="36"/>
        <v>2014-15</v>
      </c>
      <c r="G740" s="68"/>
      <c r="H740" s="167" t="s">
        <v>279</v>
      </c>
      <c r="I740" s="173">
        <v>89592.114709699614</v>
      </c>
      <c r="J740" s="168">
        <f>IFERROR(MIN('MP Calculations'!$E$30/I740,1),"-")</f>
        <v>0.31014580161562261</v>
      </c>
      <c r="K740" s="12"/>
      <c r="L740" s="159">
        <v>1</v>
      </c>
      <c r="M740" s="159" t="s">
        <v>409</v>
      </c>
      <c r="N740" s="159">
        <v>54825.61</v>
      </c>
      <c r="O740" s="185">
        <f t="shared" si="37"/>
        <v>54825.61</v>
      </c>
      <c r="P740" s="215">
        <f t="shared" si="38"/>
        <v>17003.932762515495</v>
      </c>
      <c r="Q740" s="215" cm="1">
        <f t="array" ref="Q740">IF(P740="-",0,P740/(1+'General inputs'!$H$32)^IFERROR(INDEX('MP Calculations'!$C$40:$C$130,MATCH(F740,'MP Calculations'!$D$40:$D$130,0),0),-1))</f>
        <v>23631.491377089096</v>
      </c>
    </row>
    <row r="741" spans="3:17" x14ac:dyDescent="0.25">
      <c r="C741" s="159"/>
      <c r="D741" s="165" t="s">
        <v>784</v>
      </c>
      <c r="E741" s="161">
        <v>42040</v>
      </c>
      <c r="F741" s="172" t="str">
        <f t="shared" si="36"/>
        <v>2014-15</v>
      </c>
      <c r="G741" s="68"/>
      <c r="H741" s="167" t="s">
        <v>279</v>
      </c>
      <c r="I741" s="173">
        <v>89592.114709699614</v>
      </c>
      <c r="J741" s="168">
        <f>IFERROR(MIN('MP Calculations'!$E$30/I741,1),"-")</f>
        <v>0.31014580161562261</v>
      </c>
      <c r="K741" s="12"/>
      <c r="L741" s="159">
        <v>1</v>
      </c>
      <c r="M741" s="159" t="s">
        <v>409</v>
      </c>
      <c r="N741" s="159">
        <v>11979.77</v>
      </c>
      <c r="O741" s="185">
        <f t="shared" si="37"/>
        <v>11979.77</v>
      </c>
      <c r="P741" s="215">
        <f t="shared" si="38"/>
        <v>3715.4753698207874</v>
      </c>
      <c r="Q741" s="215" cm="1">
        <f t="array" ref="Q741">IF(P741="-",0,P741/(1+'General inputs'!$H$32)^IFERROR(INDEX('MP Calculations'!$C$40:$C$130,MATCH(F741,'MP Calculations'!$D$40:$D$130,0),0),-1))</f>
        <v>5163.6421638447919</v>
      </c>
    </row>
    <row r="742" spans="3:17" x14ac:dyDescent="0.25">
      <c r="C742" s="159"/>
      <c r="D742" s="165" t="s">
        <v>785</v>
      </c>
      <c r="E742" s="161">
        <v>42040</v>
      </c>
      <c r="F742" s="172" t="str">
        <f t="shared" si="36"/>
        <v>2014-15</v>
      </c>
      <c r="G742" s="68"/>
      <c r="H742" s="167" t="s">
        <v>279</v>
      </c>
      <c r="I742" s="173">
        <v>89592.114709699614</v>
      </c>
      <c r="J742" s="168">
        <f>IFERROR(MIN('MP Calculations'!$E$30/I742,1),"-")</f>
        <v>0.31014580161562261</v>
      </c>
      <c r="K742" s="12"/>
      <c r="L742" s="159">
        <v>1</v>
      </c>
      <c r="M742" s="159" t="s">
        <v>409</v>
      </c>
      <c r="N742" s="159">
        <v>743645.99</v>
      </c>
      <c r="O742" s="185">
        <f t="shared" si="37"/>
        <v>743645.99</v>
      </c>
      <c r="P742" s="215">
        <f t="shared" si="38"/>
        <v>230638.68168679328</v>
      </c>
      <c r="Q742" s="215" cm="1">
        <f t="array" ref="Q742">IF(P742="-",0,P742/(1+'General inputs'!$H$32)^IFERROR(INDEX('MP Calculations'!$C$40:$C$130,MATCH(F742,'MP Calculations'!$D$40:$D$130,0),0),-1))</f>
        <v>320533.84905871336</v>
      </c>
    </row>
    <row r="743" spans="3:17" x14ac:dyDescent="0.25">
      <c r="C743" s="159"/>
      <c r="D743" s="165" t="s">
        <v>786</v>
      </c>
      <c r="E743" s="161">
        <v>42040</v>
      </c>
      <c r="F743" s="172" t="str">
        <f t="shared" si="36"/>
        <v>2014-15</v>
      </c>
      <c r="G743" s="68"/>
      <c r="H743" s="167" t="s">
        <v>279</v>
      </c>
      <c r="I743" s="173">
        <v>89592.114709699614</v>
      </c>
      <c r="J743" s="168">
        <f>IFERROR(MIN('MP Calculations'!$E$30/I743,1),"-")</f>
        <v>0.31014580161562261</v>
      </c>
      <c r="K743" s="12"/>
      <c r="L743" s="159">
        <v>1</v>
      </c>
      <c r="M743" s="159" t="s">
        <v>409</v>
      </c>
      <c r="N743" s="159">
        <v>7788.07</v>
      </c>
      <c r="O743" s="185">
        <f t="shared" si="37"/>
        <v>7788.07</v>
      </c>
      <c r="P743" s="215">
        <f t="shared" si="38"/>
        <v>2415.4372131885821</v>
      </c>
      <c r="Q743" s="215" cm="1">
        <f t="array" ref="Q743">IF(P743="-",0,P743/(1+'General inputs'!$H$32)^IFERROR(INDEX('MP Calculations'!$C$40:$C$130,MATCH(F743,'MP Calculations'!$D$40:$D$130,0),0),-1))</f>
        <v>3356.8930477776044</v>
      </c>
    </row>
    <row r="744" spans="3:17" x14ac:dyDescent="0.25">
      <c r="C744" s="159"/>
      <c r="D744" s="165" t="s">
        <v>787</v>
      </c>
      <c r="E744" s="161">
        <v>42040</v>
      </c>
      <c r="F744" s="172" t="str">
        <f t="shared" si="36"/>
        <v>2014-15</v>
      </c>
      <c r="G744" s="68"/>
      <c r="H744" s="167" t="s">
        <v>279</v>
      </c>
      <c r="I744" s="173">
        <v>89592.114709699614</v>
      </c>
      <c r="J744" s="168">
        <f>IFERROR(MIN('MP Calculations'!$E$30/I744,1),"-")</f>
        <v>0.31014580161562261</v>
      </c>
      <c r="K744" s="12"/>
      <c r="L744" s="159">
        <v>1</v>
      </c>
      <c r="M744" s="159" t="s">
        <v>409</v>
      </c>
      <c r="N744" s="159">
        <v>35501.129999999997</v>
      </c>
      <c r="O744" s="185">
        <f t="shared" si="37"/>
        <v>35501.129999999997</v>
      </c>
      <c r="P744" s="215">
        <f t="shared" si="38"/>
        <v>11010.526422110428</v>
      </c>
      <c r="Q744" s="215" cm="1">
        <f t="array" ref="Q744">IF(P744="-",0,P744/(1+'General inputs'!$H$32)^IFERROR(INDEX('MP Calculations'!$C$40:$C$130,MATCH(F744,'MP Calculations'!$D$40:$D$130,0),0),-1))</f>
        <v>15302.057696611475</v>
      </c>
    </row>
    <row r="745" spans="3:17" x14ac:dyDescent="0.25">
      <c r="C745" s="159"/>
      <c r="D745" s="165" t="s">
        <v>788</v>
      </c>
      <c r="E745" s="161">
        <v>42040</v>
      </c>
      <c r="F745" s="172" t="str">
        <f t="shared" si="36"/>
        <v>2014-15</v>
      </c>
      <c r="G745" s="68"/>
      <c r="H745" s="167" t="s">
        <v>279</v>
      </c>
      <c r="I745" s="173">
        <v>89592.114709699614</v>
      </c>
      <c r="J745" s="168">
        <f>IFERROR(MIN('MP Calculations'!$E$30/I745,1),"-")</f>
        <v>0.31014580161562261</v>
      </c>
      <c r="K745" s="12"/>
      <c r="L745" s="159">
        <v>1</v>
      </c>
      <c r="M745" s="159" t="s">
        <v>409</v>
      </c>
      <c r="N745" s="159">
        <v>131563.21</v>
      </c>
      <c r="O745" s="185">
        <f t="shared" si="37"/>
        <v>131563.21</v>
      </c>
      <c r="P745" s="215">
        <f t="shared" si="38"/>
        <v>40803.777228574494</v>
      </c>
      <c r="Q745" s="215" cm="1">
        <f t="array" ref="Q745">IF(P745="-",0,P745/(1+'General inputs'!$H$32)^IFERROR(INDEX('MP Calculations'!$C$40:$C$130,MATCH(F745,'MP Calculations'!$D$40:$D$130,0),0),-1))</f>
        <v>56707.711280497599</v>
      </c>
    </row>
    <row r="746" spans="3:17" x14ac:dyDescent="0.25">
      <c r="C746" s="159"/>
      <c r="D746" s="165" t="s">
        <v>789</v>
      </c>
      <c r="E746" s="161">
        <v>42040</v>
      </c>
      <c r="F746" s="172" t="str">
        <f t="shared" si="36"/>
        <v>2014-15</v>
      </c>
      <c r="G746" s="68"/>
      <c r="H746" s="167" t="s">
        <v>279</v>
      </c>
      <c r="I746" s="173">
        <v>89592.114709699614</v>
      </c>
      <c r="J746" s="168">
        <f>IFERROR(MIN('MP Calculations'!$E$30/I746,1),"-")</f>
        <v>0.31014580161562261</v>
      </c>
      <c r="K746" s="12"/>
      <c r="L746" s="159">
        <v>1</v>
      </c>
      <c r="M746" s="159" t="s">
        <v>409</v>
      </c>
      <c r="N746" s="159">
        <v>39018.980000000003</v>
      </c>
      <c r="O746" s="185">
        <f t="shared" si="37"/>
        <v>39018.980000000003</v>
      </c>
      <c r="P746" s="215">
        <f t="shared" si="38"/>
        <v>12101.572830323947</v>
      </c>
      <c r="Q746" s="215" cm="1">
        <f t="array" ref="Q746">IF(P746="-",0,P746/(1+'General inputs'!$H$32)^IFERROR(INDEX('MP Calculations'!$C$40:$C$130,MATCH(F746,'MP Calculations'!$D$40:$D$130,0),0),-1))</f>
        <v>16818.357140263684</v>
      </c>
    </row>
    <row r="747" spans="3:17" x14ac:dyDescent="0.25">
      <c r="C747" s="159"/>
      <c r="D747" s="165" t="s">
        <v>790</v>
      </c>
      <c r="E747" s="161">
        <v>42040</v>
      </c>
      <c r="F747" s="172" t="str">
        <f t="shared" si="36"/>
        <v>2014-15</v>
      </c>
      <c r="G747" s="68"/>
      <c r="H747" s="167" t="s">
        <v>279</v>
      </c>
      <c r="I747" s="173">
        <v>89592.114709699614</v>
      </c>
      <c r="J747" s="168">
        <f>IFERROR(MIN('MP Calculations'!$E$30/I747,1),"-")</f>
        <v>0.31014580161562261</v>
      </c>
      <c r="K747" s="12"/>
      <c r="L747" s="159">
        <v>1</v>
      </c>
      <c r="M747" s="159" t="s">
        <v>409</v>
      </c>
      <c r="N747" s="159">
        <v>99436.160000000003</v>
      </c>
      <c r="O747" s="185">
        <f t="shared" si="37"/>
        <v>99436.160000000003</v>
      </c>
      <c r="P747" s="215">
        <f t="shared" si="38"/>
        <v>30839.707552779309</v>
      </c>
      <c r="Q747" s="215" cm="1">
        <f t="array" ref="Q747">IF(P747="-",0,P747/(1+'General inputs'!$H$32)^IFERROR(INDEX('MP Calculations'!$C$40:$C$130,MATCH(F747,'MP Calculations'!$D$40:$D$130,0),0),-1))</f>
        <v>42859.983821627371</v>
      </c>
    </row>
    <row r="748" spans="3:17" x14ac:dyDescent="0.25">
      <c r="C748" s="159"/>
      <c r="D748" s="165" t="s">
        <v>791</v>
      </c>
      <c r="E748" s="161">
        <v>42040</v>
      </c>
      <c r="F748" s="172" t="str">
        <f t="shared" si="36"/>
        <v>2014-15</v>
      </c>
      <c r="G748" s="68"/>
      <c r="H748" s="167" t="s">
        <v>279</v>
      </c>
      <c r="I748" s="173">
        <v>89592.114709699614</v>
      </c>
      <c r="J748" s="168">
        <f>IFERROR(MIN('MP Calculations'!$E$30/I748,1),"-")</f>
        <v>0.31014580161562261</v>
      </c>
      <c r="K748" s="12"/>
      <c r="L748" s="159">
        <v>1</v>
      </c>
      <c r="M748" s="159" t="s">
        <v>409</v>
      </c>
      <c r="N748" s="159">
        <v>27517.81</v>
      </c>
      <c r="O748" s="185">
        <f t="shared" si="37"/>
        <v>27517.81</v>
      </c>
      <c r="P748" s="215">
        <f t="shared" si="38"/>
        <v>8534.5332411563959</v>
      </c>
      <c r="Q748" s="215" cm="1">
        <f t="array" ref="Q748">IF(P748="-",0,P748/(1+'General inputs'!$H$32)^IFERROR(INDEX('MP Calculations'!$C$40:$C$130,MATCH(F748,'MP Calculations'!$D$40:$D$130,0),0),-1))</f>
        <v>11861.006010354944</v>
      </c>
    </row>
    <row r="749" spans="3:17" x14ac:dyDescent="0.25">
      <c r="C749" s="159"/>
      <c r="D749" s="165" t="s">
        <v>792</v>
      </c>
      <c r="E749" s="161">
        <v>42040</v>
      </c>
      <c r="F749" s="172" t="str">
        <f t="shared" si="36"/>
        <v>2014-15</v>
      </c>
      <c r="G749" s="68"/>
      <c r="H749" s="167" t="s">
        <v>279</v>
      </c>
      <c r="I749" s="173">
        <v>89592.114709699614</v>
      </c>
      <c r="J749" s="168">
        <f>IFERROR(MIN('MP Calculations'!$E$30/I749,1),"-")</f>
        <v>0.31014580161562261</v>
      </c>
      <c r="K749" s="12"/>
      <c r="L749" s="159">
        <v>1</v>
      </c>
      <c r="M749" s="159" t="s">
        <v>409</v>
      </c>
      <c r="N749" s="159">
        <v>344864.69</v>
      </c>
      <c r="O749" s="185">
        <f t="shared" si="37"/>
        <v>344864.69</v>
      </c>
      <c r="P749" s="215">
        <f t="shared" si="38"/>
        <v>106958.33572897319</v>
      </c>
      <c r="Q749" s="215" cm="1">
        <f t="array" ref="Q749">IF(P749="-",0,P749/(1+'General inputs'!$H$32)^IFERROR(INDEX('MP Calculations'!$C$40:$C$130,MATCH(F749,'MP Calculations'!$D$40:$D$130,0),0),-1))</f>
        <v>148647.0820479244</v>
      </c>
    </row>
    <row r="750" spans="3:17" x14ac:dyDescent="0.25">
      <c r="C750" s="159"/>
      <c r="D750" s="165" t="s">
        <v>793</v>
      </c>
      <c r="E750" s="161">
        <v>42040</v>
      </c>
      <c r="F750" s="172" t="str">
        <f t="shared" si="36"/>
        <v>2014-15</v>
      </c>
      <c r="G750" s="68"/>
      <c r="H750" s="167" t="s">
        <v>279</v>
      </c>
      <c r="I750" s="173">
        <v>89592.114709699614</v>
      </c>
      <c r="J750" s="168">
        <f>IFERROR(MIN('MP Calculations'!$E$30/I750,1),"-")</f>
        <v>0.31014580161562261</v>
      </c>
      <c r="K750" s="12"/>
      <c r="L750" s="159">
        <v>1</v>
      </c>
      <c r="M750" s="159" t="s">
        <v>409</v>
      </c>
      <c r="N750" s="159">
        <v>52160.05</v>
      </c>
      <c r="O750" s="185">
        <f t="shared" si="37"/>
        <v>52160.05</v>
      </c>
      <c r="P750" s="215">
        <f t="shared" si="38"/>
        <v>16177.220519560957</v>
      </c>
      <c r="Q750" s="215" cm="1">
        <f t="array" ref="Q750">IF(P750="-",0,P750/(1+'General inputs'!$H$32)^IFERROR(INDEX('MP Calculations'!$C$40:$C$130,MATCH(F750,'MP Calculations'!$D$40:$D$130,0),0),-1))</f>
        <v>22482.554627363676</v>
      </c>
    </row>
    <row r="751" spans="3:17" x14ac:dyDescent="0.25">
      <c r="C751" s="159"/>
      <c r="D751" s="165" t="s">
        <v>794</v>
      </c>
      <c r="E751" s="161">
        <v>42040</v>
      </c>
      <c r="F751" s="172" t="str">
        <f t="shared" si="36"/>
        <v>2014-15</v>
      </c>
      <c r="G751" s="68"/>
      <c r="H751" s="167" t="s">
        <v>279</v>
      </c>
      <c r="I751" s="173">
        <v>89592.114709699614</v>
      </c>
      <c r="J751" s="168">
        <f>IFERROR(MIN('MP Calculations'!$E$30/I751,1),"-")</f>
        <v>0.31014580161562261</v>
      </c>
      <c r="K751" s="12"/>
      <c r="L751" s="159">
        <v>1</v>
      </c>
      <c r="M751" s="159" t="s">
        <v>409</v>
      </c>
      <c r="N751" s="159">
        <v>211854.46</v>
      </c>
      <c r="O751" s="185">
        <f t="shared" si="37"/>
        <v>211854.46</v>
      </c>
      <c r="P751" s="215">
        <f t="shared" si="38"/>
        <v>65705.771322544853</v>
      </c>
      <c r="Q751" s="215" cm="1">
        <f t="array" ref="Q751">IF(P751="-",0,P751/(1+'General inputs'!$H$32)^IFERROR(INDEX('MP Calculations'!$C$40:$C$130,MATCH(F751,'MP Calculations'!$D$40:$D$130,0),0),-1))</f>
        <v>91315.661507238445</v>
      </c>
    </row>
    <row r="752" spans="3:17" x14ac:dyDescent="0.25">
      <c r="C752" s="159"/>
      <c r="D752" s="165" t="s">
        <v>795</v>
      </c>
      <c r="E752" s="161">
        <v>42040</v>
      </c>
      <c r="F752" s="172" t="str">
        <f t="shared" si="36"/>
        <v>2014-15</v>
      </c>
      <c r="G752" s="68"/>
      <c r="H752" s="167" t="s">
        <v>279</v>
      </c>
      <c r="I752" s="173">
        <v>89592.114709699614</v>
      </c>
      <c r="J752" s="168">
        <f>IFERROR(MIN('MP Calculations'!$E$30/I752,1),"-")</f>
        <v>0.31014580161562261</v>
      </c>
      <c r="K752" s="12"/>
      <c r="L752" s="159">
        <v>1</v>
      </c>
      <c r="M752" s="159" t="s">
        <v>409</v>
      </c>
      <c r="N752" s="159">
        <v>32091.119999999999</v>
      </c>
      <c r="O752" s="185">
        <f t="shared" si="37"/>
        <v>32091.119999999999</v>
      </c>
      <c r="P752" s="215">
        <f t="shared" si="38"/>
        <v>9952.9261371431385</v>
      </c>
      <c r="Q752" s="215" cm="1">
        <f t="array" ref="Q752">IF(P752="-",0,P752/(1+'General inputs'!$H$32)^IFERROR(INDEX('MP Calculations'!$C$40:$C$130,MATCH(F752,'MP Calculations'!$D$40:$D$130,0),0),-1))</f>
        <v>13832.240545269473</v>
      </c>
    </row>
    <row r="753" spans="3:17" x14ac:dyDescent="0.25">
      <c r="C753" s="159"/>
      <c r="D753" s="165" t="s">
        <v>796</v>
      </c>
      <c r="E753" s="161">
        <v>42040</v>
      </c>
      <c r="F753" s="172" t="str">
        <f t="shared" si="36"/>
        <v>2014-15</v>
      </c>
      <c r="G753" s="68"/>
      <c r="H753" s="167" t="s">
        <v>279</v>
      </c>
      <c r="I753" s="173">
        <v>89592.114709699614</v>
      </c>
      <c r="J753" s="168">
        <f>IFERROR(MIN('MP Calculations'!$E$30/I753,1),"-")</f>
        <v>0.31014580161562261</v>
      </c>
      <c r="K753" s="12"/>
      <c r="L753" s="159">
        <v>1</v>
      </c>
      <c r="M753" s="159" t="s">
        <v>409</v>
      </c>
      <c r="N753" s="159">
        <v>27785.23</v>
      </c>
      <c r="O753" s="185">
        <f t="shared" si="37"/>
        <v>27785.23</v>
      </c>
      <c r="P753" s="215">
        <f t="shared" si="38"/>
        <v>8617.4724314244449</v>
      </c>
      <c r="Q753" s="215" cm="1">
        <f t="array" ref="Q753">IF(P753="-",0,P753/(1+'General inputs'!$H$32)^IFERROR(INDEX('MP Calculations'!$C$40:$C$130,MATCH(F753,'MP Calculations'!$D$40:$D$130,0),0),-1))</f>
        <v>11976.272095384571</v>
      </c>
    </row>
    <row r="754" spans="3:17" x14ac:dyDescent="0.25">
      <c r="C754" s="159"/>
      <c r="D754" s="165" t="s">
        <v>797</v>
      </c>
      <c r="E754" s="161">
        <v>42040</v>
      </c>
      <c r="F754" s="172" t="str">
        <f t="shared" si="36"/>
        <v>2014-15</v>
      </c>
      <c r="G754" s="68"/>
      <c r="H754" s="167" t="s">
        <v>279</v>
      </c>
      <c r="I754" s="173">
        <v>89592.114709699614</v>
      </c>
      <c r="J754" s="168">
        <f>IFERROR(MIN('MP Calculations'!$E$30/I754,1),"-")</f>
        <v>0.31014580161562261</v>
      </c>
      <c r="K754" s="12"/>
      <c r="L754" s="159">
        <v>1</v>
      </c>
      <c r="M754" s="159" t="s">
        <v>409</v>
      </c>
      <c r="N754" s="159">
        <v>19235.189999999999</v>
      </c>
      <c r="O754" s="185">
        <f t="shared" si="37"/>
        <v>19235.189999999999</v>
      </c>
      <c r="P754" s="215">
        <f t="shared" si="38"/>
        <v>5965.7134217788071</v>
      </c>
      <c r="Q754" s="215" cm="1">
        <f t="array" ref="Q754">IF(P754="-",0,P754/(1+'General inputs'!$H$32)^IFERROR(INDEX('MP Calculations'!$C$40:$C$130,MATCH(F754,'MP Calculations'!$D$40:$D$130,0),0),-1))</f>
        <v>8290.946997610612</v>
      </c>
    </row>
    <row r="755" spans="3:17" x14ac:dyDescent="0.25">
      <c r="C755" s="159"/>
      <c r="D755" s="165" t="s">
        <v>798</v>
      </c>
      <c r="E755" s="161">
        <v>42040</v>
      </c>
      <c r="F755" s="172" t="str">
        <f t="shared" si="36"/>
        <v>2014-15</v>
      </c>
      <c r="G755" s="68"/>
      <c r="H755" s="167" t="s">
        <v>279</v>
      </c>
      <c r="I755" s="173">
        <v>89592.114709699614</v>
      </c>
      <c r="J755" s="168">
        <f>IFERROR(MIN('MP Calculations'!$E$30/I755,1),"-")</f>
        <v>0.31014580161562261</v>
      </c>
      <c r="K755" s="12"/>
      <c r="L755" s="159">
        <v>1</v>
      </c>
      <c r="M755" s="159" t="s">
        <v>409</v>
      </c>
      <c r="N755" s="159">
        <v>53091.9</v>
      </c>
      <c r="O755" s="185">
        <f t="shared" si="37"/>
        <v>53091.9</v>
      </c>
      <c r="P755" s="215">
        <f t="shared" si="38"/>
        <v>16466.229884796474</v>
      </c>
      <c r="Q755" s="215" cm="1">
        <f t="array" ref="Q755">IF(P755="-",0,P755/(1+'General inputs'!$H$32)^IFERROR(INDEX('MP Calculations'!$C$40:$C$130,MATCH(F755,'MP Calculations'!$D$40:$D$130,0),0),-1))</f>
        <v>22884.210080713678</v>
      </c>
    </row>
    <row r="756" spans="3:17" x14ac:dyDescent="0.25">
      <c r="C756" s="159"/>
      <c r="D756" s="165" t="s">
        <v>799</v>
      </c>
      <c r="E756" s="161">
        <v>42040</v>
      </c>
      <c r="F756" s="172" t="str">
        <f t="shared" si="36"/>
        <v>2014-15</v>
      </c>
      <c r="G756" s="68"/>
      <c r="H756" s="167" t="s">
        <v>279</v>
      </c>
      <c r="I756" s="173">
        <v>89592.114709699614</v>
      </c>
      <c r="J756" s="168">
        <f>IFERROR(MIN('MP Calculations'!$E$30/I756,1),"-")</f>
        <v>0.31014580161562261</v>
      </c>
      <c r="K756" s="12"/>
      <c r="L756" s="159">
        <v>1</v>
      </c>
      <c r="M756" s="159" t="s">
        <v>409</v>
      </c>
      <c r="N756" s="159">
        <v>45398.45</v>
      </c>
      <c r="O756" s="185">
        <f t="shared" si="37"/>
        <v>45398.45</v>
      </c>
      <c r="P756" s="215">
        <f t="shared" si="38"/>
        <v>14080.138667356761</v>
      </c>
      <c r="Q756" s="215" cm="1">
        <f t="array" ref="Q756">IF(P756="-",0,P756/(1+'General inputs'!$H$32)^IFERROR(INDEX('MP Calculations'!$C$40:$C$130,MATCH(F756,'MP Calculations'!$D$40:$D$130,0),0),-1))</f>
        <v>19568.101106548755</v>
      </c>
    </row>
    <row r="757" spans="3:17" x14ac:dyDescent="0.25">
      <c r="C757" s="159"/>
      <c r="D757" s="165" t="s">
        <v>799</v>
      </c>
      <c r="E757" s="161">
        <v>42040</v>
      </c>
      <c r="F757" s="172" t="str">
        <f t="shared" si="36"/>
        <v>2014-15</v>
      </c>
      <c r="G757" s="68"/>
      <c r="H757" s="167" t="s">
        <v>279</v>
      </c>
      <c r="I757" s="173">
        <v>89592.114709699614</v>
      </c>
      <c r="J757" s="168">
        <f>IFERROR(MIN('MP Calculations'!$E$30/I757,1),"-")</f>
        <v>0.31014580161562261</v>
      </c>
      <c r="K757" s="12"/>
      <c r="L757" s="159">
        <v>1</v>
      </c>
      <c r="M757" s="159" t="s">
        <v>409</v>
      </c>
      <c r="N757" s="159">
        <v>100755.33</v>
      </c>
      <c r="O757" s="185">
        <f t="shared" si="37"/>
        <v>100755.33</v>
      </c>
      <c r="P757" s="215">
        <f t="shared" si="38"/>
        <v>31248.842589896591</v>
      </c>
      <c r="Q757" s="215" cm="1">
        <f t="array" ref="Q757">IF(P757="-",0,P757/(1+'General inputs'!$H$32)^IFERROR(INDEX('MP Calculations'!$C$40:$C$130,MATCH(F757,'MP Calculations'!$D$40:$D$130,0),0),-1))</f>
        <v>43428.58587603068</v>
      </c>
    </row>
    <row r="758" spans="3:17" x14ac:dyDescent="0.25">
      <c r="C758" s="159"/>
      <c r="D758" s="165" t="s">
        <v>800</v>
      </c>
      <c r="E758" s="161">
        <v>42040</v>
      </c>
      <c r="F758" s="172" t="str">
        <f t="shared" si="36"/>
        <v>2014-15</v>
      </c>
      <c r="G758" s="68"/>
      <c r="H758" s="167" t="s">
        <v>279</v>
      </c>
      <c r="I758" s="173">
        <v>89592.114709699614</v>
      </c>
      <c r="J758" s="168">
        <f>IFERROR(MIN('MP Calculations'!$E$30/I758,1),"-")</f>
        <v>0.31014580161562261</v>
      </c>
      <c r="K758" s="12"/>
      <c r="L758" s="159">
        <v>1</v>
      </c>
      <c r="M758" s="159" t="s">
        <v>409</v>
      </c>
      <c r="N758" s="159">
        <v>174185.57</v>
      </c>
      <c r="O758" s="185">
        <f t="shared" si="37"/>
        <v>174185.57</v>
      </c>
      <c r="P758" s="215">
        <f t="shared" si="38"/>
        <v>54022.923237524148</v>
      </c>
      <c r="Q758" s="215" cm="1">
        <f t="array" ref="Q758">IF(P758="-",0,P758/(1+'General inputs'!$H$32)^IFERROR(INDEX('MP Calculations'!$C$40:$C$130,MATCH(F758,'MP Calculations'!$D$40:$D$130,0),0),-1))</f>
        <v>75079.233873883932</v>
      </c>
    </row>
    <row r="759" spans="3:17" x14ac:dyDescent="0.25">
      <c r="C759" s="159"/>
      <c r="D759" s="165" t="s">
        <v>801</v>
      </c>
      <c r="E759" s="161">
        <v>42040</v>
      </c>
      <c r="F759" s="172" t="str">
        <f t="shared" si="36"/>
        <v>2014-15</v>
      </c>
      <c r="G759" s="68"/>
      <c r="H759" s="167" t="s">
        <v>279</v>
      </c>
      <c r="I759" s="173">
        <v>89592.114709699614</v>
      </c>
      <c r="J759" s="168">
        <f>IFERROR(MIN('MP Calculations'!$E$30/I759,1),"-")</f>
        <v>0.31014580161562261</v>
      </c>
      <c r="K759" s="12"/>
      <c r="L759" s="159">
        <v>1</v>
      </c>
      <c r="M759" s="159" t="s">
        <v>409</v>
      </c>
      <c r="N759" s="159">
        <v>375004.48</v>
      </c>
      <c r="O759" s="185">
        <f t="shared" si="37"/>
        <v>375004.48</v>
      </c>
      <c r="P759" s="215">
        <f t="shared" si="38"/>
        <v>116306.06505904971</v>
      </c>
      <c r="Q759" s="215" cm="1">
        <f t="array" ref="Q759">IF(P759="-",0,P759/(1+'General inputs'!$H$32)^IFERROR(INDEX('MP Calculations'!$C$40:$C$130,MATCH(F759,'MP Calculations'!$D$40:$D$130,0),0),-1))</f>
        <v>161638.24051369022</v>
      </c>
    </row>
    <row r="760" spans="3:17" x14ac:dyDescent="0.25">
      <c r="C760" s="159"/>
      <c r="D760" s="165" t="s">
        <v>802</v>
      </c>
      <c r="E760" s="161">
        <v>42054</v>
      </c>
      <c r="F760" s="172" t="str">
        <f t="shared" si="36"/>
        <v>2014-15</v>
      </c>
      <c r="G760" s="68"/>
      <c r="H760" s="167" t="s">
        <v>279</v>
      </c>
      <c r="I760" s="173">
        <v>89592.114709699614</v>
      </c>
      <c r="J760" s="168">
        <f>IFERROR(MIN('MP Calculations'!$E$30/I760,1),"-")</f>
        <v>0.31014580161562261</v>
      </c>
      <c r="K760" s="12"/>
      <c r="L760" s="159">
        <v>1</v>
      </c>
      <c r="M760" s="159" t="s">
        <v>409</v>
      </c>
      <c r="N760" s="159">
        <v>21336.54</v>
      </c>
      <c r="O760" s="185">
        <f t="shared" si="37"/>
        <v>21336.54</v>
      </c>
      <c r="P760" s="215">
        <f t="shared" si="38"/>
        <v>6617.4383020037967</v>
      </c>
      <c r="Q760" s="215" cm="1">
        <f t="array" ref="Q760">IF(P760="-",0,P760/(1+'General inputs'!$H$32)^IFERROR(INDEX('MP Calculations'!$C$40:$C$130,MATCH(F760,'MP Calculations'!$D$40:$D$130,0),0),-1))</f>
        <v>9196.6922215168543</v>
      </c>
    </row>
    <row r="761" spans="3:17" x14ac:dyDescent="0.25">
      <c r="C761" s="159"/>
      <c r="D761" s="165" t="s">
        <v>803</v>
      </c>
      <c r="E761" s="161">
        <v>42093</v>
      </c>
      <c r="F761" s="172" t="str">
        <f t="shared" si="36"/>
        <v>2014-15</v>
      </c>
      <c r="G761" s="68"/>
      <c r="H761" s="167" t="s">
        <v>279</v>
      </c>
      <c r="I761" s="173">
        <v>89592.114709699614</v>
      </c>
      <c r="J761" s="168">
        <f>IFERROR(MIN('MP Calculations'!$E$30/I761,1),"-")</f>
        <v>0.31014580161562261</v>
      </c>
      <c r="K761" s="12"/>
      <c r="L761" s="159">
        <v>1</v>
      </c>
      <c r="M761" s="159" t="s">
        <v>409</v>
      </c>
      <c r="N761" s="159">
        <v>58719.96</v>
      </c>
      <c r="O761" s="185">
        <f t="shared" si="37"/>
        <v>58719.96</v>
      </c>
      <c r="P761" s="215">
        <f t="shared" si="38"/>
        <v>18211.749065037293</v>
      </c>
      <c r="Q761" s="215" cm="1">
        <f t="array" ref="Q761">IF(P761="-",0,P761/(1+'General inputs'!$H$32)^IFERROR(INDEX('MP Calculations'!$C$40:$C$130,MATCH(F761,'MP Calculations'!$D$40:$D$130,0),0),-1))</f>
        <v>25310.073675477877</v>
      </c>
    </row>
    <row r="762" spans="3:17" x14ac:dyDescent="0.25">
      <c r="C762" s="159"/>
      <c r="D762" s="165" t="s">
        <v>804</v>
      </c>
      <c r="E762" s="161">
        <v>42139</v>
      </c>
      <c r="F762" s="172" t="str">
        <f t="shared" si="36"/>
        <v>2014-15</v>
      </c>
      <c r="G762" s="68"/>
      <c r="H762" s="167" t="s">
        <v>279</v>
      </c>
      <c r="I762" s="173">
        <v>89592.114709699614</v>
      </c>
      <c r="J762" s="168">
        <f>IFERROR(MIN('MP Calculations'!$E$30/I762,1),"-")</f>
        <v>0.31014580161562261</v>
      </c>
      <c r="K762" s="12"/>
      <c r="L762" s="159">
        <v>1</v>
      </c>
      <c r="M762" s="159" t="s">
        <v>409</v>
      </c>
      <c r="N762" s="159">
        <v>6077.98</v>
      </c>
      <c r="O762" s="185">
        <f t="shared" si="37"/>
        <v>6077.98</v>
      </c>
      <c r="P762" s="215">
        <f t="shared" si="38"/>
        <v>1885.0599793037218</v>
      </c>
      <c r="Q762" s="215" cm="1">
        <f t="array" ref="Q762">IF(P762="-",0,P762/(1+'General inputs'!$H$32)^IFERROR(INDEX('MP Calculations'!$C$40:$C$130,MATCH(F762,'MP Calculations'!$D$40:$D$130,0),0),-1))</f>
        <v>2619.7926837498021</v>
      </c>
    </row>
    <row r="763" spans="3:17" x14ac:dyDescent="0.25">
      <c r="C763" s="159"/>
      <c r="D763" s="165" t="s">
        <v>804</v>
      </c>
      <c r="E763" s="161">
        <v>42139</v>
      </c>
      <c r="F763" s="172" t="str">
        <f t="shared" si="36"/>
        <v>2014-15</v>
      </c>
      <c r="G763" s="68"/>
      <c r="H763" s="167" t="s">
        <v>279</v>
      </c>
      <c r="I763" s="173">
        <v>89592.114709699614</v>
      </c>
      <c r="J763" s="168">
        <f>IFERROR(MIN('MP Calculations'!$E$30/I763,1),"-")</f>
        <v>0.31014580161562261</v>
      </c>
      <c r="K763" s="12"/>
      <c r="L763" s="159">
        <v>1</v>
      </c>
      <c r="M763" s="159" t="s">
        <v>409</v>
      </c>
      <c r="N763" s="159">
        <v>569.64</v>
      </c>
      <c r="O763" s="185">
        <f t="shared" si="37"/>
        <v>569.64</v>
      </c>
      <c r="P763" s="215">
        <f t="shared" si="38"/>
        <v>176.67145443232326</v>
      </c>
      <c r="Q763" s="215" cm="1">
        <f t="array" ref="Q763">IF(P763="-",0,P763/(1+'General inputs'!$H$32)^IFERROR(INDEX('MP Calculations'!$C$40:$C$130,MATCH(F763,'MP Calculations'!$D$40:$D$130,0),0),-1))</f>
        <v>245.53201958072211</v>
      </c>
    </row>
    <row r="764" spans="3:17" x14ac:dyDescent="0.25">
      <c r="C764" s="159"/>
      <c r="D764" s="165" t="s">
        <v>805</v>
      </c>
      <c r="E764" s="161">
        <v>42169</v>
      </c>
      <c r="F764" s="172" t="str">
        <f t="shared" si="36"/>
        <v>2014-15</v>
      </c>
      <c r="G764" s="68"/>
      <c r="H764" s="167" t="s">
        <v>279</v>
      </c>
      <c r="I764" s="173">
        <v>89592.114709699614</v>
      </c>
      <c r="J764" s="168">
        <f>IFERROR(MIN('MP Calculations'!$E$30/I764,1),"-")</f>
        <v>0.31014580161562261</v>
      </c>
      <c r="K764" s="12"/>
      <c r="L764" s="159">
        <v>1</v>
      </c>
      <c r="M764" s="159" t="s">
        <v>409</v>
      </c>
      <c r="N764" s="159">
        <v>31681.63</v>
      </c>
      <c r="O764" s="185">
        <f t="shared" si="37"/>
        <v>31681.63</v>
      </c>
      <c r="P764" s="215">
        <f t="shared" si="38"/>
        <v>9825.9245328395573</v>
      </c>
      <c r="Q764" s="215" cm="1">
        <f t="array" ref="Q764">IF(P764="-",0,P764/(1+'General inputs'!$H$32)^IFERROR(INDEX('MP Calculations'!$C$40:$C$130,MATCH(F764,'MP Calculations'!$D$40:$D$130,0),0),-1))</f>
        <v>13655.73800559861</v>
      </c>
    </row>
    <row r="765" spans="3:17" x14ac:dyDescent="0.25">
      <c r="C765" s="159"/>
      <c r="D765" s="165" t="s">
        <v>806</v>
      </c>
      <c r="E765" s="161">
        <v>42185</v>
      </c>
      <c r="F765" s="172" t="str">
        <f t="shared" si="36"/>
        <v>2014-15</v>
      </c>
      <c r="G765" s="68"/>
      <c r="H765" s="167" t="s">
        <v>279</v>
      </c>
      <c r="I765" s="173">
        <v>89592.114709699614</v>
      </c>
      <c r="J765" s="168">
        <f>IFERROR(MIN('MP Calculations'!$E$30/I765,1),"-")</f>
        <v>0.31014580161562261</v>
      </c>
      <c r="K765" s="12"/>
      <c r="L765" s="159">
        <v>1</v>
      </c>
      <c r="M765" s="159" t="s">
        <v>409</v>
      </c>
      <c r="N765" s="159">
        <v>5789.32</v>
      </c>
      <c r="O765" s="185">
        <f t="shared" si="37"/>
        <v>5789.32</v>
      </c>
      <c r="P765" s="215">
        <f t="shared" si="38"/>
        <v>1795.5332922093562</v>
      </c>
      <c r="Q765" s="215" cm="1">
        <f t="array" ref="Q765">IF(P765="-",0,P765/(1+'General inputs'!$H$32)^IFERROR(INDEX('MP Calculations'!$C$40:$C$130,MATCH(F765,'MP Calculations'!$D$40:$D$130,0),0),-1))</f>
        <v>2495.3715181501757</v>
      </c>
    </row>
    <row r="766" spans="3:17" x14ac:dyDescent="0.25">
      <c r="C766" s="159"/>
      <c r="D766" s="165" t="s">
        <v>295</v>
      </c>
      <c r="E766" s="161">
        <v>42194</v>
      </c>
      <c r="F766" s="172" t="str">
        <f t="shared" si="36"/>
        <v>2015-16</v>
      </c>
      <c r="G766" s="68"/>
      <c r="H766" s="167" t="s">
        <v>279</v>
      </c>
      <c r="I766" s="173">
        <v>89592.114709699614</v>
      </c>
      <c r="J766" s="168">
        <f>IFERROR(MIN('MP Calculations'!$E$30/I766,1),"-")</f>
        <v>0.31014580161562261</v>
      </c>
      <c r="K766" s="12"/>
      <c r="L766" s="159">
        <v>0.30001100000000003</v>
      </c>
      <c r="M766" s="159" t="s">
        <v>408</v>
      </c>
      <c r="N766" s="159">
        <v>236</v>
      </c>
      <c r="O766" s="185">
        <f t="shared" si="37"/>
        <v>70.802596000000008</v>
      </c>
      <c r="P766" s="215">
        <f t="shared" si="38"/>
        <v>21.959127892887079</v>
      </c>
      <c r="Q766" s="215" cm="1">
        <f t="array" ref="Q766">IF(P766="-",0,P766/(1+'General inputs'!$H$32)^IFERROR(INDEX('MP Calculations'!$C$40:$C$130,MATCH(F766,'MP Calculations'!$D$40:$D$130,0),0),-1))</f>
        <v>29.287959872959394</v>
      </c>
    </row>
    <row r="767" spans="3:17" x14ac:dyDescent="0.25">
      <c r="C767" s="159"/>
      <c r="D767" s="165" t="s">
        <v>295</v>
      </c>
      <c r="E767" s="161">
        <v>42194</v>
      </c>
      <c r="F767" s="172" t="str">
        <f t="shared" si="36"/>
        <v>2015-16</v>
      </c>
      <c r="G767" s="68"/>
      <c r="H767" s="167" t="s">
        <v>279</v>
      </c>
      <c r="I767" s="173">
        <v>89592.114709699614</v>
      </c>
      <c r="J767" s="168">
        <f>IFERROR(MIN('MP Calculations'!$E$30/I767,1),"-")</f>
        <v>0.31014580161562261</v>
      </c>
      <c r="K767" s="12"/>
      <c r="L767" s="159">
        <v>0.65343799999999996</v>
      </c>
      <c r="M767" s="159" t="s">
        <v>408</v>
      </c>
      <c r="N767" s="159">
        <v>236</v>
      </c>
      <c r="O767" s="185">
        <f t="shared" si="37"/>
        <v>154.21136799999999</v>
      </c>
      <c r="P767" s="215">
        <f t="shared" si="38"/>
        <v>47.82800834660177</v>
      </c>
      <c r="Q767" s="215" cm="1">
        <f t="array" ref="Q767">IF(P767="-",0,P767/(1+'General inputs'!$H$32)^IFERROR(INDEX('MP Calculations'!$C$40:$C$130,MATCH(F767,'MP Calculations'!$D$40:$D$130,0),0),-1))</f>
        <v>63.790547424817213</v>
      </c>
    </row>
    <row r="768" spans="3:17" x14ac:dyDescent="0.25">
      <c r="C768" s="159"/>
      <c r="D768" s="165" t="s">
        <v>283</v>
      </c>
      <c r="E768" s="161">
        <v>42209</v>
      </c>
      <c r="F768" s="172" t="str">
        <f t="shared" si="36"/>
        <v>2015-16</v>
      </c>
      <c r="G768" s="68"/>
      <c r="H768" s="167" t="s">
        <v>279</v>
      </c>
      <c r="I768" s="173">
        <v>89592.114709699614</v>
      </c>
      <c r="J768" s="168">
        <f>IFERROR(MIN('MP Calculations'!$E$30/I768,1),"-")</f>
        <v>0.31014580161562261</v>
      </c>
      <c r="K768" s="12"/>
      <c r="L768" s="159">
        <v>3.500054</v>
      </c>
      <c r="M768" s="159" t="s">
        <v>408</v>
      </c>
      <c r="N768" s="159">
        <v>622</v>
      </c>
      <c r="O768" s="185">
        <f t="shared" si="37"/>
        <v>2177.0335879999998</v>
      </c>
      <c r="P768" s="215">
        <f t="shared" si="38"/>
        <v>675.19782729439498</v>
      </c>
      <c r="Q768" s="215" cm="1">
        <f t="array" ref="Q768">IF(P768="-",0,P768/(1+'General inputs'!$H$32)^IFERROR(INDEX('MP Calculations'!$C$40:$C$130,MATCH(F768,'MP Calculations'!$D$40:$D$130,0),0),-1))</f>
        <v>900.54427336857532</v>
      </c>
    </row>
    <row r="769" spans="3:17" x14ac:dyDescent="0.25">
      <c r="C769" s="159"/>
      <c r="D769" s="165" t="s">
        <v>807</v>
      </c>
      <c r="E769" s="161">
        <v>42214</v>
      </c>
      <c r="F769" s="172" t="str">
        <f t="shared" si="36"/>
        <v>2015-16</v>
      </c>
      <c r="G769" s="68"/>
      <c r="H769" s="167" t="s">
        <v>279</v>
      </c>
      <c r="I769" s="173">
        <v>89592.114709699614</v>
      </c>
      <c r="J769" s="168">
        <f>IFERROR(MIN('MP Calculations'!$E$30/I769,1),"-")</f>
        <v>0.31014580161562261</v>
      </c>
      <c r="K769" s="12"/>
      <c r="L769" s="159">
        <v>1</v>
      </c>
      <c r="M769" s="159" t="s">
        <v>409</v>
      </c>
      <c r="N769" s="159">
        <v>17728.990000000002</v>
      </c>
      <c r="O769" s="185">
        <f t="shared" si="37"/>
        <v>17728.990000000002</v>
      </c>
      <c r="P769" s="215">
        <f t="shared" si="38"/>
        <v>5498.5718153853577</v>
      </c>
      <c r="Q769" s="215" cm="1">
        <f t="array" ref="Q769">IF(P769="-",0,P769/(1+'General inputs'!$H$32)^IFERROR(INDEX('MP Calculations'!$C$40:$C$130,MATCH(F769,'MP Calculations'!$D$40:$D$130,0),0),-1))</f>
        <v>7333.7134094362636</v>
      </c>
    </row>
    <row r="770" spans="3:17" x14ac:dyDescent="0.25">
      <c r="C770" s="159"/>
      <c r="D770" s="165" t="s">
        <v>808</v>
      </c>
      <c r="E770" s="161">
        <v>42257</v>
      </c>
      <c r="F770" s="172" t="str">
        <f t="shared" si="36"/>
        <v>2015-16</v>
      </c>
      <c r="G770" s="68"/>
      <c r="H770" s="167" t="s">
        <v>279</v>
      </c>
      <c r="I770" s="173">
        <v>89592.114709699614</v>
      </c>
      <c r="J770" s="168">
        <f>IFERROR(MIN('MP Calculations'!$E$30/I770,1),"-")</f>
        <v>0.31014580161562261</v>
      </c>
      <c r="K770" s="12"/>
      <c r="L770" s="159">
        <v>1</v>
      </c>
      <c r="M770" s="159" t="s">
        <v>409</v>
      </c>
      <c r="N770" s="159">
        <v>30014.11</v>
      </c>
      <c r="O770" s="185">
        <f t="shared" si="37"/>
        <v>30014.11</v>
      </c>
      <c r="P770" s="215">
        <f t="shared" si="38"/>
        <v>9308.7502057294751</v>
      </c>
      <c r="Q770" s="215" cm="1">
        <f t="array" ref="Q770">IF(P770="-",0,P770/(1+'General inputs'!$H$32)^IFERROR(INDEX('MP Calculations'!$C$40:$C$130,MATCH(F770,'MP Calculations'!$D$40:$D$130,0),0),-1))</f>
        <v>12415.534160676669</v>
      </c>
    </row>
    <row r="771" spans="3:17" x14ac:dyDescent="0.25">
      <c r="C771" s="159"/>
      <c r="D771" s="165" t="s">
        <v>809</v>
      </c>
      <c r="E771" s="161">
        <v>42257</v>
      </c>
      <c r="F771" s="172" t="str">
        <f t="shared" si="36"/>
        <v>2015-16</v>
      </c>
      <c r="G771" s="68"/>
      <c r="H771" s="167" t="s">
        <v>279</v>
      </c>
      <c r="I771" s="173">
        <v>89592.114709699614</v>
      </c>
      <c r="J771" s="168">
        <f>IFERROR(MIN('MP Calculations'!$E$30/I771,1),"-")</f>
        <v>0.31014580161562261</v>
      </c>
      <c r="K771" s="12"/>
      <c r="L771" s="159">
        <v>1</v>
      </c>
      <c r="M771" s="159" t="s">
        <v>409</v>
      </c>
      <c r="N771" s="159">
        <v>18.440000000000001</v>
      </c>
      <c r="O771" s="185">
        <f t="shared" si="37"/>
        <v>18.440000000000001</v>
      </c>
      <c r="P771" s="215">
        <f t="shared" si="38"/>
        <v>5.7190885817920813</v>
      </c>
      <c r="Q771" s="215" cm="1">
        <f t="array" ref="Q771">IF(P771="-",0,P771/(1+'General inputs'!$H$32)^IFERROR(INDEX('MP Calculations'!$C$40:$C$130,MATCH(F771,'MP Calculations'!$D$40:$D$130,0),0),-1))</f>
        <v>7.6278273759534354</v>
      </c>
    </row>
    <row r="772" spans="3:17" x14ac:dyDescent="0.25">
      <c r="C772" s="159"/>
      <c r="D772" s="165" t="s">
        <v>810</v>
      </c>
      <c r="E772" s="161">
        <v>42274</v>
      </c>
      <c r="F772" s="172" t="str">
        <f t="shared" si="36"/>
        <v>2015-16</v>
      </c>
      <c r="G772" s="68"/>
      <c r="H772" s="167" t="s">
        <v>279</v>
      </c>
      <c r="I772" s="173">
        <v>89592.114709699614</v>
      </c>
      <c r="J772" s="168">
        <f>IFERROR(MIN('MP Calculations'!$E$30/I772,1),"-")</f>
        <v>0.31014580161562261</v>
      </c>
      <c r="K772" s="12"/>
      <c r="L772" s="159">
        <v>1</v>
      </c>
      <c r="M772" s="159" t="s">
        <v>409</v>
      </c>
      <c r="N772" s="159">
        <v>1478.48</v>
      </c>
      <c r="O772" s="185">
        <f t="shared" si="37"/>
        <v>1478.48</v>
      </c>
      <c r="P772" s="215">
        <f t="shared" si="38"/>
        <v>458.54436477266574</v>
      </c>
      <c r="Q772" s="215" cm="1">
        <f t="array" ref="Q772">IF(P772="-",0,P772/(1+'General inputs'!$H$32)^IFERROR(INDEX('MP Calculations'!$C$40:$C$130,MATCH(F772,'MP Calculations'!$D$40:$D$130,0),0),-1))</f>
        <v>611.58298366592385</v>
      </c>
    </row>
    <row r="773" spans="3:17" x14ac:dyDescent="0.25">
      <c r="C773" s="159"/>
      <c r="D773" s="165" t="s">
        <v>811</v>
      </c>
      <c r="E773" s="161">
        <v>42284</v>
      </c>
      <c r="F773" s="172" t="str">
        <f t="shared" si="36"/>
        <v>2015-16</v>
      </c>
      <c r="G773" s="68"/>
      <c r="H773" s="167" t="s">
        <v>279</v>
      </c>
      <c r="I773" s="173">
        <v>89592.114709699614</v>
      </c>
      <c r="J773" s="168">
        <f>IFERROR(MIN('MP Calculations'!$E$30/I773,1),"-")</f>
        <v>0.31014580161562261</v>
      </c>
      <c r="K773" s="12"/>
      <c r="L773" s="159">
        <v>1</v>
      </c>
      <c r="M773" s="159" t="s">
        <v>409</v>
      </c>
      <c r="N773" s="159">
        <v>10819.41</v>
      </c>
      <c r="O773" s="185">
        <f t="shared" si="37"/>
        <v>10819.41</v>
      </c>
      <c r="P773" s="215">
        <f t="shared" si="38"/>
        <v>3355.5945874580834</v>
      </c>
      <c r="Q773" s="215" cm="1">
        <f t="array" ref="Q773">IF(P773="-",0,P773/(1+'General inputs'!$H$32)^IFERROR(INDEX('MP Calculations'!$C$40:$C$130,MATCH(F773,'MP Calculations'!$D$40:$D$130,0),0),-1))</f>
        <v>4475.5201621293036</v>
      </c>
    </row>
    <row r="774" spans="3:17" x14ac:dyDescent="0.25">
      <c r="C774" s="159"/>
      <c r="D774" s="165" t="s">
        <v>812</v>
      </c>
      <c r="E774" s="161">
        <v>42303</v>
      </c>
      <c r="F774" s="172" t="str">
        <f t="shared" si="36"/>
        <v>2015-16</v>
      </c>
      <c r="G774" s="68"/>
      <c r="H774" s="167" t="s">
        <v>279</v>
      </c>
      <c r="I774" s="173">
        <v>89592.114709699614</v>
      </c>
      <c r="J774" s="168">
        <f>IFERROR(MIN('MP Calculations'!$E$30/I774,1),"-")</f>
        <v>0.31014580161562261</v>
      </c>
      <c r="K774" s="12"/>
      <c r="L774" s="159">
        <v>1</v>
      </c>
      <c r="M774" s="159" t="s">
        <v>409</v>
      </c>
      <c r="N774" s="159">
        <v>24260.29</v>
      </c>
      <c r="O774" s="185">
        <f t="shared" si="37"/>
        <v>24260.29</v>
      </c>
      <c r="P774" s="215">
        <f t="shared" si="38"/>
        <v>7524.2270894774729</v>
      </c>
      <c r="Q774" s="215" cm="1">
        <f t="array" ref="Q774">IF(P774="-",0,P774/(1+'General inputs'!$H$32)^IFERROR(INDEX('MP Calculations'!$C$40:$C$130,MATCH(F774,'MP Calculations'!$D$40:$D$130,0),0),-1))</f>
        <v>10035.428644824802</v>
      </c>
    </row>
    <row r="775" spans="3:17" x14ac:dyDescent="0.25">
      <c r="C775" s="159"/>
      <c r="D775" s="165" t="s">
        <v>809</v>
      </c>
      <c r="E775" s="161">
        <v>42306</v>
      </c>
      <c r="F775" s="172" t="str">
        <f t="shared" si="36"/>
        <v>2015-16</v>
      </c>
      <c r="G775" s="68"/>
      <c r="H775" s="167" t="s">
        <v>279</v>
      </c>
      <c r="I775" s="173">
        <v>89592.114709699614</v>
      </c>
      <c r="J775" s="168">
        <f>IFERROR(MIN('MP Calculations'!$E$30/I775,1),"-")</f>
        <v>0.31014580161562261</v>
      </c>
      <c r="K775" s="12"/>
      <c r="L775" s="159">
        <v>1</v>
      </c>
      <c r="M775" s="159" t="s">
        <v>409</v>
      </c>
      <c r="N775" s="159">
        <v>666.52</v>
      </c>
      <c r="O775" s="185">
        <f t="shared" si="37"/>
        <v>666.52</v>
      </c>
      <c r="P775" s="215">
        <f t="shared" si="38"/>
        <v>206.71837969284476</v>
      </c>
      <c r="Q775" s="215" cm="1">
        <f t="array" ref="Q775">IF(P775="-",0,P775/(1+'General inputs'!$H$32)^IFERROR(INDEX('MP Calculations'!$C$40:$C$130,MATCH(F775,'MP Calculations'!$D$40:$D$130,0),0),-1))</f>
        <v>275.7103851746466</v>
      </c>
    </row>
    <row r="776" spans="3:17" x14ac:dyDescent="0.25">
      <c r="C776" s="159"/>
      <c r="D776" s="165" t="s">
        <v>813</v>
      </c>
      <c r="E776" s="161">
        <v>42306</v>
      </c>
      <c r="F776" s="172" t="str">
        <f t="shared" si="36"/>
        <v>2015-16</v>
      </c>
      <c r="G776" s="68"/>
      <c r="H776" s="167" t="s">
        <v>279</v>
      </c>
      <c r="I776" s="173">
        <v>89592.114709699614</v>
      </c>
      <c r="J776" s="168">
        <f>IFERROR(MIN('MP Calculations'!$E$30/I776,1),"-")</f>
        <v>0.31014580161562261</v>
      </c>
      <c r="K776" s="12"/>
      <c r="L776" s="159">
        <v>1</v>
      </c>
      <c r="M776" s="159" t="s">
        <v>409</v>
      </c>
      <c r="N776" s="159">
        <v>5304.69</v>
      </c>
      <c r="O776" s="185">
        <f t="shared" si="37"/>
        <v>5304.69</v>
      </c>
      <c r="P776" s="215">
        <f t="shared" si="38"/>
        <v>1645.2273323723771</v>
      </c>
      <c r="Q776" s="215" cm="1">
        <f t="array" ref="Q776">IF(P776="-",0,P776/(1+'General inputs'!$H$32)^IFERROR(INDEX('MP Calculations'!$C$40:$C$130,MATCH(F776,'MP Calculations'!$D$40:$D$130,0),0),-1))</f>
        <v>2194.3199350838627</v>
      </c>
    </row>
    <row r="777" spans="3:17" x14ac:dyDescent="0.25">
      <c r="C777" s="159"/>
      <c r="D777" s="165" t="s">
        <v>804</v>
      </c>
      <c r="E777" s="161">
        <v>42306</v>
      </c>
      <c r="F777" s="172" t="str">
        <f t="shared" si="36"/>
        <v>2015-16</v>
      </c>
      <c r="G777" s="68"/>
      <c r="H777" s="167" t="s">
        <v>279</v>
      </c>
      <c r="I777" s="173">
        <v>89592.114709699614</v>
      </c>
      <c r="J777" s="168">
        <f>IFERROR(MIN('MP Calculations'!$E$30/I777,1),"-")</f>
        <v>0.31014580161562261</v>
      </c>
      <c r="K777" s="12"/>
      <c r="L777" s="159">
        <v>1</v>
      </c>
      <c r="M777" s="159" t="s">
        <v>409</v>
      </c>
      <c r="N777" s="159">
        <v>2373.4499999999998</v>
      </c>
      <c r="O777" s="185">
        <f t="shared" si="37"/>
        <v>2373.4499999999998</v>
      </c>
      <c r="P777" s="215">
        <f t="shared" si="38"/>
        <v>736.11555284459939</v>
      </c>
      <c r="Q777" s="215" cm="1">
        <f t="array" ref="Q777">IF(P777="-",0,P777/(1+'General inputs'!$H$32)^IFERROR(INDEX('MP Calculations'!$C$40:$C$130,MATCH(F777,'MP Calculations'!$D$40:$D$130,0),0),-1))</f>
        <v>981.79321504645759</v>
      </c>
    </row>
    <row r="778" spans="3:17" x14ac:dyDescent="0.25">
      <c r="C778" s="159"/>
      <c r="D778" s="165" t="s">
        <v>814</v>
      </c>
      <c r="E778" s="161">
        <v>42306</v>
      </c>
      <c r="F778" s="172" t="str">
        <f t="shared" si="36"/>
        <v>2015-16</v>
      </c>
      <c r="G778" s="68"/>
      <c r="H778" s="167" t="s">
        <v>279</v>
      </c>
      <c r="I778" s="173">
        <v>89592.114709699614</v>
      </c>
      <c r="J778" s="168">
        <f>IFERROR(MIN('MP Calculations'!$E$30/I778,1),"-")</f>
        <v>0.31014580161562261</v>
      </c>
      <c r="K778" s="12"/>
      <c r="L778" s="159">
        <v>1</v>
      </c>
      <c r="M778" s="159" t="s">
        <v>409</v>
      </c>
      <c r="N778" s="159">
        <v>13307.11</v>
      </c>
      <c r="O778" s="185">
        <f t="shared" si="37"/>
        <v>13307.11</v>
      </c>
      <c r="P778" s="215">
        <f t="shared" si="38"/>
        <v>4127.1442981372684</v>
      </c>
      <c r="Q778" s="215" cm="1">
        <f t="array" ref="Q778">IF(P778="-",0,P778/(1+'General inputs'!$H$32)^IFERROR(INDEX('MP Calculations'!$C$40:$C$130,MATCH(F778,'MP Calculations'!$D$40:$D$130,0),0),-1))</f>
        <v>5504.5736416932605</v>
      </c>
    </row>
    <row r="779" spans="3:17" x14ac:dyDescent="0.25">
      <c r="C779" s="159"/>
      <c r="D779" s="165" t="s">
        <v>814</v>
      </c>
      <c r="E779" s="161">
        <v>42306</v>
      </c>
      <c r="F779" s="172" t="str">
        <f t="shared" si="36"/>
        <v>2015-16</v>
      </c>
      <c r="G779" s="68"/>
      <c r="H779" s="167" t="s">
        <v>279</v>
      </c>
      <c r="I779" s="173">
        <v>89592.114709699614</v>
      </c>
      <c r="J779" s="168">
        <f>IFERROR(MIN('MP Calculations'!$E$30/I779,1),"-")</f>
        <v>0.31014580161562261</v>
      </c>
      <c r="K779" s="12"/>
      <c r="L779" s="159">
        <v>1</v>
      </c>
      <c r="M779" s="159" t="s">
        <v>409</v>
      </c>
      <c r="N779" s="159">
        <v>1535.14</v>
      </c>
      <c r="O779" s="185">
        <f t="shared" si="37"/>
        <v>1535.14</v>
      </c>
      <c r="P779" s="215">
        <f t="shared" si="38"/>
        <v>476.11722589220693</v>
      </c>
      <c r="Q779" s="215" cm="1">
        <f t="array" ref="Q779">IF(P779="-",0,P779/(1+'General inputs'!$H$32)^IFERROR(INDEX('MP Calculations'!$C$40:$C$130,MATCH(F779,'MP Calculations'!$D$40:$D$130,0),0),-1))</f>
        <v>635.02076561394563</v>
      </c>
    </row>
    <row r="780" spans="3:17" x14ac:dyDescent="0.25">
      <c r="C780" s="159"/>
      <c r="D780" s="165" t="s">
        <v>815</v>
      </c>
      <c r="E780" s="161">
        <v>42341</v>
      </c>
      <c r="F780" s="172" t="str">
        <f t="shared" si="36"/>
        <v>2015-16</v>
      </c>
      <c r="G780" s="68"/>
      <c r="H780" s="167" t="s">
        <v>279</v>
      </c>
      <c r="I780" s="173">
        <v>89592.114709699614</v>
      </c>
      <c r="J780" s="168">
        <f>IFERROR(MIN('MP Calculations'!$E$30/I780,1),"-")</f>
        <v>0.31014580161562261</v>
      </c>
      <c r="K780" s="12"/>
      <c r="L780" s="159">
        <v>1</v>
      </c>
      <c r="M780" s="159" t="s">
        <v>409</v>
      </c>
      <c r="N780" s="159">
        <v>109802.67</v>
      </c>
      <c r="O780" s="185">
        <f t="shared" si="37"/>
        <v>109802.67</v>
      </c>
      <c r="P780" s="215">
        <f t="shared" si="38"/>
        <v>34054.837106685678</v>
      </c>
      <c r="Q780" s="215" cm="1">
        <f t="array" ref="Q780">IF(P780="-",0,P780/(1+'General inputs'!$H$32)^IFERROR(INDEX('MP Calculations'!$C$40:$C$130,MATCH(F780,'MP Calculations'!$D$40:$D$130,0),0),-1))</f>
        <v>45420.597189738663</v>
      </c>
    </row>
    <row r="781" spans="3:17" x14ac:dyDescent="0.25">
      <c r="C781" s="159"/>
      <c r="D781" s="165" t="s">
        <v>816</v>
      </c>
      <c r="E781" s="161">
        <v>42341</v>
      </c>
      <c r="F781" s="172" t="str">
        <f t="shared" si="36"/>
        <v>2015-16</v>
      </c>
      <c r="G781" s="68"/>
      <c r="H781" s="167" t="s">
        <v>279</v>
      </c>
      <c r="I781" s="173">
        <v>89592.114709699614</v>
      </c>
      <c r="J781" s="168">
        <f>IFERROR(MIN('MP Calculations'!$E$30/I781,1),"-")</f>
        <v>0.31014580161562261</v>
      </c>
      <c r="K781" s="12"/>
      <c r="L781" s="159">
        <v>1</v>
      </c>
      <c r="M781" s="159" t="s">
        <v>409</v>
      </c>
      <c r="N781" s="159">
        <v>4517.2700000000004</v>
      </c>
      <c r="O781" s="185">
        <f t="shared" si="37"/>
        <v>4517.2700000000004</v>
      </c>
      <c r="P781" s="215">
        <f t="shared" si="38"/>
        <v>1401.0123252642036</v>
      </c>
      <c r="Q781" s="215" cm="1">
        <f t="array" ref="Q781">IF(P781="-",0,P781/(1+'General inputs'!$H$32)^IFERROR(INDEX('MP Calculations'!$C$40:$C$130,MATCH(F781,'MP Calculations'!$D$40:$D$130,0),0),-1))</f>
        <v>1868.5984691200204</v>
      </c>
    </row>
    <row r="782" spans="3:17" x14ac:dyDescent="0.25">
      <c r="C782" s="159"/>
      <c r="D782" s="165" t="s">
        <v>817</v>
      </c>
      <c r="E782" s="161">
        <v>42377</v>
      </c>
      <c r="F782" s="172" t="str">
        <f t="shared" si="36"/>
        <v>2015-16</v>
      </c>
      <c r="G782" s="68"/>
      <c r="H782" s="167" t="s">
        <v>279</v>
      </c>
      <c r="I782" s="173">
        <v>89592.114709699614</v>
      </c>
      <c r="J782" s="168">
        <f>IFERROR(MIN('MP Calculations'!$E$30/I782,1),"-")</f>
        <v>0.31014580161562261</v>
      </c>
      <c r="K782" s="12"/>
      <c r="L782" s="159">
        <v>1</v>
      </c>
      <c r="M782" s="159" t="s">
        <v>409</v>
      </c>
      <c r="N782" s="159">
        <v>1114.8699999999999</v>
      </c>
      <c r="O782" s="185">
        <f t="shared" si="37"/>
        <v>1114.8699999999999</v>
      </c>
      <c r="P782" s="215">
        <f t="shared" si="38"/>
        <v>345.77224984720914</v>
      </c>
      <c r="Q782" s="215" cm="1">
        <f t="array" ref="Q782">IF(P782="-",0,P782/(1+'General inputs'!$H$32)^IFERROR(INDEX('MP Calculations'!$C$40:$C$130,MATCH(F782,'MP Calculations'!$D$40:$D$130,0),0),-1))</f>
        <v>461.17331380852522</v>
      </c>
    </row>
    <row r="783" spans="3:17" x14ac:dyDescent="0.25">
      <c r="C783" s="159"/>
      <c r="D783" s="165" t="s">
        <v>818</v>
      </c>
      <c r="E783" s="161">
        <v>42400</v>
      </c>
      <c r="F783" s="172" t="str">
        <f t="shared" si="36"/>
        <v>2015-16</v>
      </c>
      <c r="G783" s="68"/>
      <c r="H783" s="167" t="s">
        <v>279</v>
      </c>
      <c r="I783" s="173">
        <v>89592.114709699614</v>
      </c>
      <c r="J783" s="168">
        <f>IFERROR(MIN('MP Calculations'!$E$30/I783,1),"-")</f>
        <v>0.31014580161562261</v>
      </c>
      <c r="K783" s="12"/>
      <c r="L783" s="159">
        <v>1</v>
      </c>
      <c r="M783" s="159" t="s">
        <v>409</v>
      </c>
      <c r="N783" s="159">
        <v>269.24</v>
      </c>
      <c r="O783" s="185">
        <f t="shared" si="37"/>
        <v>269.24</v>
      </c>
      <c r="P783" s="215">
        <f t="shared" si="38"/>
        <v>83.503655626990238</v>
      </c>
      <c r="Q783" s="215" cm="1">
        <f t="array" ref="Q783">IF(P783="-",0,P783/(1+'General inputs'!$H$32)^IFERROR(INDEX('MP Calculations'!$C$40:$C$130,MATCH(F783,'MP Calculations'!$D$40:$D$130,0),0),-1))</f>
        <v>111.37289819423552</v>
      </c>
    </row>
    <row r="784" spans="3:17" x14ac:dyDescent="0.25">
      <c r="C784" s="159"/>
      <c r="D784" s="165" t="s">
        <v>819</v>
      </c>
      <c r="E784" s="161">
        <v>42429</v>
      </c>
      <c r="F784" s="172" t="str">
        <f t="shared" si="36"/>
        <v>2015-16</v>
      </c>
      <c r="G784" s="68"/>
      <c r="H784" s="167" t="s">
        <v>279</v>
      </c>
      <c r="I784" s="173">
        <v>89592.114709699614</v>
      </c>
      <c r="J784" s="168">
        <f>IFERROR(MIN('MP Calculations'!$E$30/I784,1),"-")</f>
        <v>0.31014580161562261</v>
      </c>
      <c r="K784" s="12"/>
      <c r="L784" s="159">
        <v>1</v>
      </c>
      <c r="M784" s="159" t="s">
        <v>409</v>
      </c>
      <c r="N784" s="159">
        <v>1257.24</v>
      </c>
      <c r="O784" s="185">
        <f t="shared" si="37"/>
        <v>1257.24</v>
      </c>
      <c r="P784" s="215">
        <f t="shared" si="38"/>
        <v>389.92770762322539</v>
      </c>
      <c r="Q784" s="215" cm="1">
        <f t="array" ref="Q784">IF(P784="-",0,P784/(1+'General inputs'!$H$32)^IFERROR(INDEX('MP Calculations'!$C$40:$C$130,MATCH(F784,'MP Calculations'!$D$40:$D$130,0),0),-1))</f>
        <v>520.06560141777095</v>
      </c>
    </row>
    <row r="785" spans="3:17" x14ac:dyDescent="0.25">
      <c r="C785" s="159"/>
      <c r="D785" s="165" t="s">
        <v>820</v>
      </c>
      <c r="E785" s="161">
        <v>42429</v>
      </c>
      <c r="F785" s="172" t="str">
        <f t="shared" si="36"/>
        <v>2015-16</v>
      </c>
      <c r="G785" s="68"/>
      <c r="H785" s="167" t="s">
        <v>279</v>
      </c>
      <c r="I785" s="173">
        <v>89592.114709699614</v>
      </c>
      <c r="J785" s="168">
        <f>IFERROR(MIN('MP Calculations'!$E$30/I785,1),"-")</f>
        <v>0.31014580161562261</v>
      </c>
      <c r="K785" s="12"/>
      <c r="L785" s="159">
        <v>1</v>
      </c>
      <c r="M785" s="159" t="s">
        <v>409</v>
      </c>
      <c r="N785" s="159">
        <v>792.82</v>
      </c>
      <c r="O785" s="185">
        <f t="shared" si="37"/>
        <v>792.82</v>
      </c>
      <c r="P785" s="215">
        <f t="shared" si="38"/>
        <v>245.88979443689794</v>
      </c>
      <c r="Q785" s="215" cm="1">
        <f t="array" ref="Q785">IF(P785="-",0,P785/(1+'General inputs'!$H$32)^IFERROR(INDEX('MP Calculations'!$C$40:$C$130,MATCH(F785,'MP Calculations'!$D$40:$D$130,0),0),-1))</f>
        <v>327.95521150777671</v>
      </c>
    </row>
    <row r="786" spans="3:17" x14ac:dyDescent="0.25">
      <c r="C786" s="159"/>
      <c r="D786" s="165" t="s">
        <v>818</v>
      </c>
      <c r="E786" s="161">
        <v>42429</v>
      </c>
      <c r="F786" s="172" t="str">
        <f t="shared" si="36"/>
        <v>2015-16</v>
      </c>
      <c r="G786" s="68"/>
      <c r="H786" s="167" t="s">
        <v>279</v>
      </c>
      <c r="I786" s="173">
        <v>89592.114709699614</v>
      </c>
      <c r="J786" s="168">
        <f>IFERROR(MIN('MP Calculations'!$E$30/I786,1),"-")</f>
        <v>0.31014580161562261</v>
      </c>
      <c r="K786" s="12"/>
      <c r="L786" s="159">
        <v>1</v>
      </c>
      <c r="M786" s="159" t="s">
        <v>409</v>
      </c>
      <c r="N786" s="159">
        <v>5688.65</v>
      </c>
      <c r="O786" s="185">
        <f t="shared" si="37"/>
        <v>5688.65</v>
      </c>
      <c r="P786" s="215">
        <f t="shared" si="38"/>
        <v>1764.3109143607114</v>
      </c>
      <c r="Q786" s="215" cm="1">
        <f t="array" ref="Q786">IF(P786="-",0,P786/(1+'General inputs'!$H$32)^IFERROR(INDEX('MP Calculations'!$C$40:$C$130,MATCH(F786,'MP Calculations'!$D$40:$D$130,0),0),-1))</f>
        <v>2353.1475163892355</v>
      </c>
    </row>
    <row r="787" spans="3:17" x14ac:dyDescent="0.25">
      <c r="C787" s="159"/>
      <c r="D787" s="165" t="s">
        <v>821</v>
      </c>
      <c r="E787" s="161">
        <v>42429</v>
      </c>
      <c r="F787" s="172" t="str">
        <f t="shared" si="36"/>
        <v>2015-16</v>
      </c>
      <c r="G787" s="68"/>
      <c r="H787" s="167" t="s">
        <v>279</v>
      </c>
      <c r="I787" s="173">
        <v>89592.114709699614</v>
      </c>
      <c r="J787" s="168">
        <f>IFERROR(MIN('MP Calculations'!$E$30/I787,1),"-")</f>
        <v>0.31014580161562261</v>
      </c>
      <c r="K787" s="12"/>
      <c r="L787" s="159">
        <v>1</v>
      </c>
      <c r="M787" s="159" t="s">
        <v>409</v>
      </c>
      <c r="N787" s="159">
        <v>7344.22</v>
      </c>
      <c r="O787" s="185">
        <f t="shared" si="37"/>
        <v>7344.22</v>
      </c>
      <c r="P787" s="215">
        <f t="shared" si="38"/>
        <v>2277.7789991414879</v>
      </c>
      <c r="Q787" s="215" cm="1">
        <f t="array" ref="Q787">IF(P787="-",0,P787/(1+'General inputs'!$H$32)^IFERROR(INDEX('MP Calculations'!$C$40:$C$130,MATCH(F787,'MP Calculations'!$D$40:$D$130,0),0),-1))</f>
        <v>3037.9849441987385</v>
      </c>
    </row>
    <row r="788" spans="3:17" x14ac:dyDescent="0.25">
      <c r="C788" s="159"/>
      <c r="D788" s="165" t="s">
        <v>822</v>
      </c>
      <c r="E788" s="161">
        <v>42460</v>
      </c>
      <c r="F788" s="172" t="str">
        <f t="shared" si="36"/>
        <v>2015-16</v>
      </c>
      <c r="G788" s="68"/>
      <c r="H788" s="167" t="s">
        <v>279</v>
      </c>
      <c r="I788" s="173">
        <v>89592.114709699614</v>
      </c>
      <c r="J788" s="168">
        <f>IFERROR(MIN('MP Calculations'!$E$30/I788,1),"-")</f>
        <v>0.31014580161562261</v>
      </c>
      <c r="K788" s="12"/>
      <c r="L788" s="159">
        <v>1</v>
      </c>
      <c r="M788" s="159" t="s">
        <v>409</v>
      </c>
      <c r="N788" s="159">
        <v>1096.69</v>
      </c>
      <c r="O788" s="185">
        <f t="shared" si="37"/>
        <v>1096.69</v>
      </c>
      <c r="P788" s="215">
        <f t="shared" si="38"/>
        <v>340.13379917383719</v>
      </c>
      <c r="Q788" s="215" cm="1">
        <f t="array" ref="Q788">IF(P788="-",0,P788/(1+'General inputs'!$H$32)^IFERROR(INDEX('MP Calculations'!$C$40:$C$130,MATCH(F788,'MP Calculations'!$D$40:$D$130,0),0),-1))</f>
        <v>453.65303714394651</v>
      </c>
    </row>
    <row r="789" spans="3:17" x14ac:dyDescent="0.25">
      <c r="C789" s="159"/>
      <c r="D789" s="165" t="s">
        <v>823</v>
      </c>
      <c r="E789" s="161">
        <v>42460</v>
      </c>
      <c r="F789" s="172" t="str">
        <f t="shared" si="36"/>
        <v>2015-16</v>
      </c>
      <c r="G789" s="68"/>
      <c r="H789" s="167" t="s">
        <v>279</v>
      </c>
      <c r="I789" s="173">
        <v>89592.114709699614</v>
      </c>
      <c r="J789" s="168">
        <f>IFERROR(MIN('MP Calculations'!$E$30/I789,1),"-")</f>
        <v>0.31014580161562261</v>
      </c>
      <c r="K789" s="12"/>
      <c r="L789" s="159">
        <v>1</v>
      </c>
      <c r="M789" s="159" t="s">
        <v>409</v>
      </c>
      <c r="N789" s="159">
        <v>495.4</v>
      </c>
      <c r="O789" s="185">
        <f t="shared" si="37"/>
        <v>495.4</v>
      </c>
      <c r="P789" s="215">
        <f t="shared" si="38"/>
        <v>153.64623012037944</v>
      </c>
      <c r="Q789" s="215" cm="1">
        <f t="array" ref="Q789">IF(P789="-",0,P789/(1+'General inputs'!$H$32)^IFERROR(INDEX('MP Calculations'!$C$40:$C$130,MATCH(F789,'MP Calculations'!$D$40:$D$130,0),0),-1))</f>
        <v>204.92547082686181</v>
      </c>
    </row>
    <row r="790" spans="3:17" x14ac:dyDescent="0.25">
      <c r="C790" s="159"/>
      <c r="D790" s="165" t="s">
        <v>824</v>
      </c>
      <c r="E790" s="161">
        <v>42521</v>
      </c>
      <c r="F790" s="172" t="str">
        <f t="shared" ref="F790:F853" si="39">IF(E790="","-",IF(OR(E790&lt;$E$15,E790&gt;$E$16),"ERROR - date outside of range",IF(MONTH(E790)&gt;=7,YEAR(E790)&amp;"-"&amp;IF(YEAR(E790)=1999,"00",IF(AND(YEAR(E790)&gt;=2000,YEAR(E790)&lt;2009),"0","")&amp;RIGHT(YEAR(E790),2)+1),RIGHT(YEAR(E790),4)-1&amp;"-"&amp;RIGHT(YEAR(E790),2))))</f>
        <v>2015-16</v>
      </c>
      <c r="G790" s="68"/>
      <c r="H790" s="167" t="s">
        <v>279</v>
      </c>
      <c r="I790" s="173">
        <v>89592.114709699614</v>
      </c>
      <c r="J790" s="168">
        <f>IFERROR(MIN('MP Calculations'!$E$30/I790,1),"-")</f>
        <v>0.31014580161562261</v>
      </c>
      <c r="K790" s="12"/>
      <c r="L790" s="159">
        <v>1</v>
      </c>
      <c r="M790" s="159" t="s">
        <v>409</v>
      </c>
      <c r="N790" s="159">
        <v>2364.84</v>
      </c>
      <c r="O790" s="185">
        <f t="shared" ref="O790:O853" si="40">IF(N790="","-",L790*N790)</f>
        <v>2364.84</v>
      </c>
      <c r="P790" s="215">
        <f t="shared" ref="P790:P853" si="41">IF(O790="-","-",IF(OR(E790&lt;$E$15,E790&gt;$E$16),0,O790*J790))</f>
        <v>733.44519749268898</v>
      </c>
      <c r="Q790" s="215" cm="1">
        <f t="array" ref="Q790">IF(P790="-",0,P790/(1+'General inputs'!$H$32)^IFERROR(INDEX('MP Calculations'!$C$40:$C$130,MATCH(F790,'MP Calculations'!$D$40:$D$130,0),0),-1))</f>
        <v>978.23163187362911</v>
      </c>
    </row>
    <row r="791" spans="3:17" x14ac:dyDescent="0.25">
      <c r="C791" s="159"/>
      <c r="D791" s="165" t="s">
        <v>825</v>
      </c>
      <c r="E791" s="161">
        <v>42521</v>
      </c>
      <c r="F791" s="172" t="str">
        <f t="shared" si="39"/>
        <v>2015-16</v>
      </c>
      <c r="G791" s="68"/>
      <c r="H791" s="167" t="s">
        <v>279</v>
      </c>
      <c r="I791" s="173">
        <v>89592.114709699614</v>
      </c>
      <c r="J791" s="168">
        <f>IFERROR(MIN('MP Calculations'!$E$30/I791,1),"-")</f>
        <v>0.31014580161562261</v>
      </c>
      <c r="K791" s="12"/>
      <c r="L791" s="159">
        <v>1</v>
      </c>
      <c r="M791" s="159" t="s">
        <v>409</v>
      </c>
      <c r="N791" s="159">
        <v>18019.95</v>
      </c>
      <c r="O791" s="185">
        <f t="shared" si="40"/>
        <v>18019.95</v>
      </c>
      <c r="P791" s="215">
        <f t="shared" si="41"/>
        <v>5588.8118378234385</v>
      </c>
      <c r="Q791" s="215" cm="1">
        <f t="array" ref="Q791">IF(P791="-",0,P791/(1+'General inputs'!$H$32)^IFERROR(INDEX('MP Calculations'!$C$40:$C$130,MATCH(F791,'MP Calculations'!$D$40:$D$130,0),0),-1))</f>
        <v>7454.0709285961011</v>
      </c>
    </row>
    <row r="792" spans="3:17" x14ac:dyDescent="0.25">
      <c r="C792" s="159"/>
      <c r="D792" s="165" t="s">
        <v>826</v>
      </c>
      <c r="E792" s="161">
        <v>42544</v>
      </c>
      <c r="F792" s="172" t="str">
        <f t="shared" si="39"/>
        <v>2015-16</v>
      </c>
      <c r="G792" s="68"/>
      <c r="H792" s="167" t="s">
        <v>279</v>
      </c>
      <c r="I792" s="173">
        <v>89592.114709699614</v>
      </c>
      <c r="J792" s="168">
        <f>IFERROR(MIN('MP Calculations'!$E$30/I792,1),"-")</f>
        <v>0.31014580161562261</v>
      </c>
      <c r="K792" s="12"/>
      <c r="L792" s="159">
        <v>1</v>
      </c>
      <c r="M792" s="159" t="s">
        <v>409</v>
      </c>
      <c r="N792" s="159">
        <v>2390.54</v>
      </c>
      <c r="O792" s="185">
        <f t="shared" si="40"/>
        <v>2390.54</v>
      </c>
      <c r="P792" s="215">
        <f t="shared" si="41"/>
        <v>741.41594459421049</v>
      </c>
      <c r="Q792" s="215" cm="1">
        <f t="array" ref="Q792">IF(P792="-",0,P792/(1+'General inputs'!$H$32)^IFERROR(INDEX('MP Calculations'!$C$40:$C$130,MATCH(F792,'MP Calculations'!$D$40:$D$130,0),0),-1))</f>
        <v>988.86260603642756</v>
      </c>
    </row>
    <row r="793" spans="3:17" x14ac:dyDescent="0.25">
      <c r="C793" s="159"/>
      <c r="D793" s="165" t="s">
        <v>827</v>
      </c>
      <c r="E793" s="161">
        <v>42544</v>
      </c>
      <c r="F793" s="172" t="str">
        <f t="shared" si="39"/>
        <v>2015-16</v>
      </c>
      <c r="G793" s="68"/>
      <c r="H793" s="167" t="s">
        <v>279</v>
      </c>
      <c r="I793" s="173">
        <v>89592.114709699614</v>
      </c>
      <c r="J793" s="168">
        <f>IFERROR(MIN('MP Calculations'!$E$30/I793,1),"-")</f>
        <v>0.31014580161562261</v>
      </c>
      <c r="K793" s="12"/>
      <c r="L793" s="159">
        <v>1</v>
      </c>
      <c r="M793" s="159" t="s">
        <v>409</v>
      </c>
      <c r="N793" s="159">
        <v>2390.54</v>
      </c>
      <c r="O793" s="185">
        <f t="shared" si="40"/>
        <v>2390.54</v>
      </c>
      <c r="P793" s="215">
        <f t="shared" si="41"/>
        <v>741.41594459421049</v>
      </c>
      <c r="Q793" s="215" cm="1">
        <f t="array" ref="Q793">IF(P793="-",0,P793/(1+'General inputs'!$H$32)^IFERROR(INDEX('MP Calculations'!$C$40:$C$130,MATCH(F793,'MP Calculations'!$D$40:$D$130,0),0),-1))</f>
        <v>988.86260603642756</v>
      </c>
    </row>
    <row r="794" spans="3:17" x14ac:dyDescent="0.25">
      <c r="C794" s="159"/>
      <c r="D794" s="165" t="s">
        <v>828</v>
      </c>
      <c r="E794" s="161">
        <v>42544</v>
      </c>
      <c r="F794" s="172" t="str">
        <f t="shared" si="39"/>
        <v>2015-16</v>
      </c>
      <c r="G794" s="68"/>
      <c r="H794" s="167" t="s">
        <v>279</v>
      </c>
      <c r="I794" s="173">
        <v>89592.114709699614</v>
      </c>
      <c r="J794" s="168">
        <f>IFERROR(MIN('MP Calculations'!$E$30/I794,1),"-")</f>
        <v>0.31014580161562261</v>
      </c>
      <c r="K794" s="12"/>
      <c r="L794" s="159">
        <v>1</v>
      </c>
      <c r="M794" s="159" t="s">
        <v>409</v>
      </c>
      <c r="N794" s="159">
        <v>2390.54</v>
      </c>
      <c r="O794" s="185">
        <f t="shared" si="40"/>
        <v>2390.54</v>
      </c>
      <c r="P794" s="215">
        <f t="shared" si="41"/>
        <v>741.41594459421049</v>
      </c>
      <c r="Q794" s="215" cm="1">
        <f t="array" ref="Q794">IF(P794="-",0,P794/(1+'General inputs'!$H$32)^IFERROR(INDEX('MP Calculations'!$C$40:$C$130,MATCH(F794,'MP Calculations'!$D$40:$D$130,0),0),-1))</f>
        <v>988.86260603642756</v>
      </c>
    </row>
    <row r="795" spans="3:17" x14ac:dyDescent="0.25">
      <c r="C795" s="159"/>
      <c r="D795" s="165" t="s">
        <v>829</v>
      </c>
      <c r="E795" s="161">
        <v>42544</v>
      </c>
      <c r="F795" s="172" t="str">
        <f t="shared" si="39"/>
        <v>2015-16</v>
      </c>
      <c r="G795" s="68"/>
      <c r="H795" s="167" t="s">
        <v>279</v>
      </c>
      <c r="I795" s="173">
        <v>89592.114709699614</v>
      </c>
      <c r="J795" s="168">
        <f>IFERROR(MIN('MP Calculations'!$E$30/I795,1),"-")</f>
        <v>0.31014580161562261</v>
      </c>
      <c r="K795" s="12"/>
      <c r="L795" s="159">
        <v>1</v>
      </c>
      <c r="M795" s="159" t="s">
        <v>409</v>
      </c>
      <c r="N795" s="159">
        <v>2390.54</v>
      </c>
      <c r="O795" s="185">
        <f t="shared" si="40"/>
        <v>2390.54</v>
      </c>
      <c r="P795" s="215">
        <f t="shared" si="41"/>
        <v>741.41594459421049</v>
      </c>
      <c r="Q795" s="215" cm="1">
        <f t="array" ref="Q795">IF(P795="-",0,P795/(1+'General inputs'!$H$32)^IFERROR(INDEX('MP Calculations'!$C$40:$C$130,MATCH(F795,'MP Calculations'!$D$40:$D$130,0),0),-1))</f>
        <v>988.86260603642756</v>
      </c>
    </row>
    <row r="796" spans="3:17" x14ac:dyDescent="0.25">
      <c r="C796" s="159"/>
      <c r="D796" s="165" t="s">
        <v>830</v>
      </c>
      <c r="E796" s="161">
        <v>42544</v>
      </c>
      <c r="F796" s="172" t="str">
        <f t="shared" si="39"/>
        <v>2015-16</v>
      </c>
      <c r="G796" s="68"/>
      <c r="H796" s="167" t="s">
        <v>279</v>
      </c>
      <c r="I796" s="173">
        <v>89592.114709699614</v>
      </c>
      <c r="J796" s="168">
        <f>IFERROR(MIN('MP Calculations'!$E$30/I796,1),"-")</f>
        <v>0.31014580161562261</v>
      </c>
      <c r="K796" s="12"/>
      <c r="L796" s="159">
        <v>1</v>
      </c>
      <c r="M796" s="159" t="s">
        <v>409</v>
      </c>
      <c r="N796" s="159">
        <v>2390.54</v>
      </c>
      <c r="O796" s="185">
        <f t="shared" si="40"/>
        <v>2390.54</v>
      </c>
      <c r="P796" s="215">
        <f t="shared" si="41"/>
        <v>741.41594459421049</v>
      </c>
      <c r="Q796" s="215" cm="1">
        <f t="array" ref="Q796">IF(P796="-",0,P796/(1+'General inputs'!$H$32)^IFERROR(INDEX('MP Calculations'!$C$40:$C$130,MATCH(F796,'MP Calculations'!$D$40:$D$130,0),0),-1))</f>
        <v>988.86260603642756</v>
      </c>
    </row>
    <row r="797" spans="3:17" x14ac:dyDescent="0.25">
      <c r="C797" s="159"/>
      <c r="D797" s="165" t="s">
        <v>831</v>
      </c>
      <c r="E797" s="161">
        <v>42544</v>
      </c>
      <c r="F797" s="172" t="str">
        <f t="shared" si="39"/>
        <v>2015-16</v>
      </c>
      <c r="G797" s="68"/>
      <c r="H797" s="167" t="s">
        <v>279</v>
      </c>
      <c r="I797" s="173">
        <v>89592.114709699614</v>
      </c>
      <c r="J797" s="168">
        <f>IFERROR(MIN('MP Calculations'!$E$30/I797,1),"-")</f>
        <v>0.31014580161562261</v>
      </c>
      <c r="K797" s="12"/>
      <c r="L797" s="159">
        <v>1</v>
      </c>
      <c r="M797" s="159" t="s">
        <v>409</v>
      </c>
      <c r="N797" s="159">
        <v>2390.54</v>
      </c>
      <c r="O797" s="185">
        <f t="shared" si="40"/>
        <v>2390.54</v>
      </c>
      <c r="P797" s="215">
        <f t="shared" si="41"/>
        <v>741.41594459421049</v>
      </c>
      <c r="Q797" s="215" cm="1">
        <f t="array" ref="Q797">IF(P797="-",0,P797/(1+'General inputs'!$H$32)^IFERROR(INDEX('MP Calculations'!$C$40:$C$130,MATCH(F797,'MP Calculations'!$D$40:$D$130,0),0),-1))</f>
        <v>988.86260603642756</v>
      </c>
    </row>
    <row r="798" spans="3:17" x14ac:dyDescent="0.25">
      <c r="C798" s="159"/>
      <c r="D798" s="165" t="s">
        <v>832</v>
      </c>
      <c r="E798" s="161">
        <v>42544</v>
      </c>
      <c r="F798" s="172" t="str">
        <f t="shared" si="39"/>
        <v>2015-16</v>
      </c>
      <c r="G798" s="68"/>
      <c r="H798" s="167" t="s">
        <v>279</v>
      </c>
      <c r="I798" s="173">
        <v>89592.114709699614</v>
      </c>
      <c r="J798" s="168">
        <f>IFERROR(MIN('MP Calculations'!$E$30/I798,1),"-")</f>
        <v>0.31014580161562261</v>
      </c>
      <c r="K798" s="12"/>
      <c r="L798" s="159">
        <v>1</v>
      </c>
      <c r="M798" s="159" t="s">
        <v>409</v>
      </c>
      <c r="N798" s="159">
        <v>2390.54</v>
      </c>
      <c r="O798" s="185">
        <f t="shared" si="40"/>
        <v>2390.54</v>
      </c>
      <c r="P798" s="215">
        <f t="shared" si="41"/>
        <v>741.41594459421049</v>
      </c>
      <c r="Q798" s="215" cm="1">
        <f t="array" ref="Q798">IF(P798="-",0,P798/(1+'General inputs'!$H$32)^IFERROR(INDEX('MP Calculations'!$C$40:$C$130,MATCH(F798,'MP Calculations'!$D$40:$D$130,0),0),-1))</f>
        <v>988.86260603642756</v>
      </c>
    </row>
    <row r="799" spans="3:17" x14ac:dyDescent="0.25">
      <c r="C799" s="159"/>
      <c r="D799" s="165" t="s">
        <v>833</v>
      </c>
      <c r="E799" s="161">
        <v>42544</v>
      </c>
      <c r="F799" s="172" t="str">
        <f t="shared" si="39"/>
        <v>2015-16</v>
      </c>
      <c r="G799" s="68"/>
      <c r="H799" s="167" t="s">
        <v>279</v>
      </c>
      <c r="I799" s="173">
        <v>89592.114709699614</v>
      </c>
      <c r="J799" s="168">
        <f>IFERROR(MIN('MP Calculations'!$E$30/I799,1),"-")</f>
        <v>0.31014580161562261</v>
      </c>
      <c r="K799" s="12"/>
      <c r="L799" s="159">
        <v>1</v>
      </c>
      <c r="M799" s="159" t="s">
        <v>409</v>
      </c>
      <c r="N799" s="159">
        <v>2390.54</v>
      </c>
      <c r="O799" s="185">
        <f t="shared" si="40"/>
        <v>2390.54</v>
      </c>
      <c r="P799" s="215">
        <f t="shared" si="41"/>
        <v>741.41594459421049</v>
      </c>
      <c r="Q799" s="215" cm="1">
        <f t="array" ref="Q799">IF(P799="-",0,P799/(1+'General inputs'!$H$32)^IFERROR(INDEX('MP Calculations'!$C$40:$C$130,MATCH(F799,'MP Calculations'!$D$40:$D$130,0),0),-1))</f>
        <v>988.86260603642756</v>
      </c>
    </row>
    <row r="800" spans="3:17" x14ac:dyDescent="0.25">
      <c r="C800" s="159"/>
      <c r="D800" s="165" t="s">
        <v>834</v>
      </c>
      <c r="E800" s="161">
        <v>42544</v>
      </c>
      <c r="F800" s="172" t="str">
        <f t="shared" si="39"/>
        <v>2015-16</v>
      </c>
      <c r="G800" s="68"/>
      <c r="H800" s="167" t="s">
        <v>279</v>
      </c>
      <c r="I800" s="173">
        <v>89592.114709699614</v>
      </c>
      <c r="J800" s="168">
        <f>IFERROR(MIN('MP Calculations'!$E$30/I800,1),"-")</f>
        <v>0.31014580161562261</v>
      </c>
      <c r="K800" s="12"/>
      <c r="L800" s="159">
        <v>1</v>
      </c>
      <c r="M800" s="159" t="s">
        <v>409</v>
      </c>
      <c r="N800" s="159">
        <v>2390.54</v>
      </c>
      <c r="O800" s="185">
        <f t="shared" si="40"/>
        <v>2390.54</v>
      </c>
      <c r="P800" s="215">
        <f t="shared" si="41"/>
        <v>741.41594459421049</v>
      </c>
      <c r="Q800" s="215" cm="1">
        <f t="array" ref="Q800">IF(P800="-",0,P800/(1+'General inputs'!$H$32)^IFERROR(INDEX('MP Calculations'!$C$40:$C$130,MATCH(F800,'MP Calculations'!$D$40:$D$130,0),0),-1))</f>
        <v>988.86260603642756</v>
      </c>
    </row>
    <row r="801" spans="3:17" x14ac:dyDescent="0.25">
      <c r="C801" s="159"/>
      <c r="D801" s="165" t="s">
        <v>835</v>
      </c>
      <c r="E801" s="161">
        <v>42544</v>
      </c>
      <c r="F801" s="172" t="str">
        <f t="shared" si="39"/>
        <v>2015-16</v>
      </c>
      <c r="G801" s="68"/>
      <c r="H801" s="167" t="s">
        <v>279</v>
      </c>
      <c r="I801" s="173">
        <v>89592.114709699614</v>
      </c>
      <c r="J801" s="168">
        <f>IFERROR(MIN('MP Calculations'!$E$30/I801,1),"-")</f>
        <v>0.31014580161562261</v>
      </c>
      <c r="K801" s="12"/>
      <c r="L801" s="159">
        <v>1</v>
      </c>
      <c r="M801" s="159" t="s">
        <v>409</v>
      </c>
      <c r="N801" s="159">
        <v>2390.54</v>
      </c>
      <c r="O801" s="185">
        <f t="shared" si="40"/>
        <v>2390.54</v>
      </c>
      <c r="P801" s="215">
        <f t="shared" si="41"/>
        <v>741.41594459421049</v>
      </c>
      <c r="Q801" s="215" cm="1">
        <f t="array" ref="Q801">IF(P801="-",0,P801/(1+'General inputs'!$H$32)^IFERROR(INDEX('MP Calculations'!$C$40:$C$130,MATCH(F801,'MP Calculations'!$D$40:$D$130,0),0),-1))</f>
        <v>988.86260603642756</v>
      </c>
    </row>
    <row r="802" spans="3:17" x14ac:dyDescent="0.25">
      <c r="C802" s="159"/>
      <c r="D802" s="165" t="s">
        <v>836</v>
      </c>
      <c r="E802" s="161">
        <v>42551</v>
      </c>
      <c r="F802" s="172" t="str">
        <f t="shared" si="39"/>
        <v>2015-16</v>
      </c>
      <c r="G802" s="68"/>
      <c r="H802" s="167" t="s">
        <v>279</v>
      </c>
      <c r="I802" s="173">
        <v>89592.114709699614</v>
      </c>
      <c r="J802" s="168">
        <f>IFERROR(MIN('MP Calculations'!$E$30/I802,1),"-")</f>
        <v>0.31014580161562261</v>
      </c>
      <c r="K802" s="12"/>
      <c r="L802" s="159">
        <v>1</v>
      </c>
      <c r="M802" s="159" t="s">
        <v>409</v>
      </c>
      <c r="N802" s="159">
        <v>4907.5600000000004</v>
      </c>
      <c r="O802" s="185">
        <f t="shared" si="40"/>
        <v>4907.5600000000004</v>
      </c>
      <c r="P802" s="215">
        <f t="shared" si="41"/>
        <v>1522.0591301767649</v>
      </c>
      <c r="Q802" s="215" cm="1">
        <f t="array" ref="Q802">IF(P802="-",0,P802/(1+'General inputs'!$H$32)^IFERROR(INDEX('MP Calculations'!$C$40:$C$130,MATCH(F802,'MP Calculations'!$D$40:$D$130,0),0),-1))</f>
        <v>2030.0444965907832</v>
      </c>
    </row>
    <row r="803" spans="3:17" x14ac:dyDescent="0.25">
      <c r="C803" s="159"/>
      <c r="D803" s="165" t="s">
        <v>837</v>
      </c>
      <c r="E803" s="161">
        <v>42551</v>
      </c>
      <c r="F803" s="172" t="str">
        <f t="shared" si="39"/>
        <v>2015-16</v>
      </c>
      <c r="G803" s="68"/>
      <c r="H803" s="167" t="s">
        <v>279</v>
      </c>
      <c r="I803" s="173">
        <v>89592.114709699614</v>
      </c>
      <c r="J803" s="168">
        <f>IFERROR(MIN('MP Calculations'!$E$30/I803,1),"-")</f>
        <v>0.31014580161562261</v>
      </c>
      <c r="K803" s="12"/>
      <c r="L803" s="159">
        <v>1</v>
      </c>
      <c r="M803" s="159" t="s">
        <v>409</v>
      </c>
      <c r="N803" s="159">
        <v>8170.22</v>
      </c>
      <c r="O803" s="185">
        <f t="shared" si="40"/>
        <v>8170.22</v>
      </c>
      <c r="P803" s="215">
        <f t="shared" si="41"/>
        <v>2533.9594312759923</v>
      </c>
      <c r="Q803" s="215" cm="1">
        <f t="array" ref="Q803">IF(P803="-",0,P803/(1+'General inputs'!$H$32)^IFERROR(INDEX('MP Calculations'!$C$40:$C$130,MATCH(F803,'MP Calculations'!$D$40:$D$130,0),0),-1))</f>
        <v>3379.665281104245</v>
      </c>
    </row>
    <row r="804" spans="3:17" x14ac:dyDescent="0.25">
      <c r="C804" s="159"/>
      <c r="D804" s="165" t="s">
        <v>838</v>
      </c>
      <c r="E804" s="161">
        <v>42551</v>
      </c>
      <c r="F804" s="172" t="str">
        <f t="shared" si="39"/>
        <v>2015-16</v>
      </c>
      <c r="G804" s="68"/>
      <c r="H804" s="167" t="s">
        <v>279</v>
      </c>
      <c r="I804" s="173">
        <v>89592.114709699614</v>
      </c>
      <c r="J804" s="168">
        <f>IFERROR(MIN('MP Calculations'!$E$30/I804,1),"-")</f>
        <v>0.31014580161562261</v>
      </c>
      <c r="K804" s="12"/>
      <c r="L804" s="159">
        <v>1</v>
      </c>
      <c r="M804" s="159" t="s">
        <v>409</v>
      </c>
      <c r="N804" s="159">
        <v>8672.4500000000007</v>
      </c>
      <c r="O804" s="185">
        <f t="shared" si="40"/>
        <v>8672.4500000000007</v>
      </c>
      <c r="P804" s="215">
        <f t="shared" si="41"/>
        <v>2689.7239572214066</v>
      </c>
      <c r="Q804" s="215" cm="1">
        <f t="array" ref="Q804">IF(P804="-",0,P804/(1+'General inputs'!$H$32)^IFERROR(INDEX('MP Calculations'!$C$40:$C$130,MATCH(F804,'MP Calculations'!$D$40:$D$130,0),0),-1))</f>
        <v>3587.4160263876015</v>
      </c>
    </row>
    <row r="805" spans="3:17" x14ac:dyDescent="0.25">
      <c r="C805" s="159"/>
      <c r="D805" s="165" t="s">
        <v>839</v>
      </c>
      <c r="E805" s="161">
        <v>42551</v>
      </c>
      <c r="F805" s="172" t="str">
        <f t="shared" si="39"/>
        <v>2015-16</v>
      </c>
      <c r="G805" s="68"/>
      <c r="H805" s="167" t="s">
        <v>279</v>
      </c>
      <c r="I805" s="173">
        <v>89592.114709699614</v>
      </c>
      <c r="J805" s="168">
        <f>IFERROR(MIN('MP Calculations'!$E$30/I805,1),"-")</f>
        <v>0.31014580161562261</v>
      </c>
      <c r="K805" s="12"/>
      <c r="L805" s="159">
        <v>1</v>
      </c>
      <c r="M805" s="159" t="s">
        <v>409</v>
      </c>
      <c r="N805" s="159">
        <v>17846.669999999998</v>
      </c>
      <c r="O805" s="185">
        <f t="shared" si="40"/>
        <v>17846.669999999998</v>
      </c>
      <c r="P805" s="215">
        <f t="shared" si="41"/>
        <v>5535.0697733194829</v>
      </c>
      <c r="Q805" s="215" cm="1">
        <f t="array" ref="Q805">IF(P805="-",0,P805/(1+'General inputs'!$H$32)^IFERROR(INDEX('MP Calculations'!$C$40:$C$130,MATCH(F805,'MP Calculations'!$D$40:$D$130,0),0),-1))</f>
        <v>7382.3925160307417</v>
      </c>
    </row>
    <row r="806" spans="3:17" x14ac:dyDescent="0.25">
      <c r="C806" s="159"/>
      <c r="D806" s="165" t="s">
        <v>840</v>
      </c>
      <c r="E806" s="161">
        <v>42692</v>
      </c>
      <c r="F806" s="172" t="str">
        <f t="shared" si="39"/>
        <v>2016-17</v>
      </c>
      <c r="G806" s="68"/>
      <c r="H806" s="167" t="s">
        <v>279</v>
      </c>
      <c r="I806" s="173">
        <v>89592.114709699614</v>
      </c>
      <c r="J806" s="168">
        <f>IFERROR(MIN('MP Calculations'!$E$30/I806,1),"-")</f>
        <v>0.31014580161562261</v>
      </c>
      <c r="K806" s="12"/>
      <c r="L806" s="159">
        <v>1</v>
      </c>
      <c r="M806" s="159" t="s">
        <v>409</v>
      </c>
      <c r="N806" s="159">
        <v>154823.85999999999</v>
      </c>
      <c r="O806" s="185">
        <f t="shared" si="40"/>
        <v>154823.85999999999</v>
      </c>
      <c r="P806" s="215">
        <f t="shared" si="41"/>
        <v>48017.970168924927</v>
      </c>
      <c r="Q806" s="215" cm="1">
        <f t="array" ref="Q806">IF(P806="-",0,P806/(1+'General inputs'!$H$32)^IFERROR(INDEX('MP Calculations'!$C$40:$C$130,MATCH(F806,'MP Calculations'!$D$40:$D$130,0),0),-1))</f>
        <v>61462.48442626508</v>
      </c>
    </row>
    <row r="807" spans="3:17" x14ac:dyDescent="0.25">
      <c r="C807" s="159"/>
      <c r="D807" s="165" t="s">
        <v>668</v>
      </c>
      <c r="E807" s="161">
        <v>42704</v>
      </c>
      <c r="F807" s="172" t="str">
        <f t="shared" si="39"/>
        <v>2016-17</v>
      </c>
      <c r="G807" s="68"/>
      <c r="H807" s="167" t="s">
        <v>279</v>
      </c>
      <c r="I807" s="173">
        <v>89592.114709699614</v>
      </c>
      <c r="J807" s="168">
        <f>IFERROR(MIN('MP Calculations'!$E$30/I807,1),"-")</f>
        <v>0.31014580161562261</v>
      </c>
      <c r="K807" s="12"/>
      <c r="L807" s="159">
        <v>1</v>
      </c>
      <c r="M807" s="159" t="s">
        <v>409</v>
      </c>
      <c r="N807" s="159">
        <v>28433.23</v>
      </c>
      <c r="O807" s="185">
        <f t="shared" si="40"/>
        <v>28433.23</v>
      </c>
      <c r="P807" s="215">
        <f t="shared" si="41"/>
        <v>8818.4469108713693</v>
      </c>
      <c r="Q807" s="215" cm="1">
        <f t="array" ref="Q807">IF(P807="-",0,P807/(1+'General inputs'!$H$32)^IFERROR(INDEX('MP Calculations'!$C$40:$C$130,MATCH(F807,'MP Calculations'!$D$40:$D$130,0),0),-1))</f>
        <v>11287.517027823833</v>
      </c>
    </row>
    <row r="808" spans="3:17" x14ac:dyDescent="0.25">
      <c r="C808" s="159"/>
      <c r="D808" s="165" t="s">
        <v>841</v>
      </c>
      <c r="E808" s="161">
        <v>42704</v>
      </c>
      <c r="F808" s="172" t="str">
        <f t="shared" si="39"/>
        <v>2016-17</v>
      </c>
      <c r="G808" s="68"/>
      <c r="H808" s="167" t="s">
        <v>279</v>
      </c>
      <c r="I808" s="173">
        <v>89592.114709699614</v>
      </c>
      <c r="J808" s="168">
        <f>IFERROR(MIN('MP Calculations'!$E$30/I808,1),"-")</f>
        <v>0.31014580161562261</v>
      </c>
      <c r="K808" s="12"/>
      <c r="L808" s="159">
        <v>1</v>
      </c>
      <c r="M808" s="159" t="s">
        <v>409</v>
      </c>
      <c r="N808" s="159">
        <v>19885.98</v>
      </c>
      <c r="O808" s="185">
        <f t="shared" si="40"/>
        <v>19885.98</v>
      </c>
      <c r="P808" s="215">
        <f t="shared" si="41"/>
        <v>6167.5532080122384</v>
      </c>
      <c r="Q808" s="215" cm="1">
        <f t="array" ref="Q808">IF(P808="-",0,P808/(1+'General inputs'!$H$32)^IFERROR(INDEX('MP Calculations'!$C$40:$C$130,MATCH(F808,'MP Calculations'!$D$40:$D$130,0),0),-1))</f>
        <v>7894.4016513412007</v>
      </c>
    </row>
    <row r="809" spans="3:17" x14ac:dyDescent="0.25">
      <c r="C809" s="159"/>
      <c r="D809" s="165" t="s">
        <v>842</v>
      </c>
      <c r="E809" s="161">
        <v>42716</v>
      </c>
      <c r="F809" s="172" t="str">
        <f t="shared" si="39"/>
        <v>2016-17</v>
      </c>
      <c r="G809" s="68"/>
      <c r="H809" s="167" t="s">
        <v>279</v>
      </c>
      <c r="I809" s="173">
        <v>89592.114709699614</v>
      </c>
      <c r="J809" s="168">
        <f>IFERROR(MIN('MP Calculations'!$E$30/I809,1),"-")</f>
        <v>0.31014580161562261</v>
      </c>
      <c r="K809" s="12"/>
      <c r="L809" s="159">
        <v>1</v>
      </c>
      <c r="M809" s="159" t="s">
        <v>409</v>
      </c>
      <c r="N809" s="159">
        <v>30448.45</v>
      </c>
      <c r="O809" s="185">
        <f t="shared" si="40"/>
        <v>30448.45</v>
      </c>
      <c r="P809" s="215">
        <f t="shared" si="41"/>
        <v>9443.4589332032047</v>
      </c>
      <c r="Q809" s="215" cm="1">
        <f t="array" ref="Q809">IF(P809="-",0,P809/(1+'General inputs'!$H$32)^IFERROR(INDEX('MP Calculations'!$C$40:$C$130,MATCH(F809,'MP Calculations'!$D$40:$D$130,0),0),-1))</f>
        <v>12087.525681951807</v>
      </c>
    </row>
    <row r="810" spans="3:17" x14ac:dyDescent="0.25">
      <c r="C810" s="159"/>
      <c r="D810" s="165" t="s">
        <v>843</v>
      </c>
      <c r="E810" s="161">
        <v>42726</v>
      </c>
      <c r="F810" s="172" t="str">
        <f t="shared" si="39"/>
        <v>2016-17</v>
      </c>
      <c r="G810" s="68"/>
      <c r="H810" s="167" t="s">
        <v>279</v>
      </c>
      <c r="I810" s="173">
        <v>89592.114709699614</v>
      </c>
      <c r="J810" s="168">
        <f>IFERROR(MIN('MP Calculations'!$E$30/I810,1),"-")</f>
        <v>0.31014580161562261</v>
      </c>
      <c r="K810" s="12"/>
      <c r="L810" s="159">
        <v>1</v>
      </c>
      <c r="M810" s="159" t="s">
        <v>409</v>
      </c>
      <c r="N810" s="159">
        <v>4226.3500000000004</v>
      </c>
      <c r="O810" s="185">
        <f t="shared" si="40"/>
        <v>4226.3500000000004</v>
      </c>
      <c r="P810" s="215">
        <f t="shared" si="41"/>
        <v>1310.7847086581867</v>
      </c>
      <c r="Q810" s="215" cm="1">
        <f t="array" ref="Q810">IF(P810="-",0,P810/(1+'General inputs'!$H$32)^IFERROR(INDEX('MP Calculations'!$C$40:$C$130,MATCH(F810,'MP Calculations'!$D$40:$D$130,0),0),-1))</f>
        <v>1677.7903034774192</v>
      </c>
    </row>
    <row r="811" spans="3:17" x14ac:dyDescent="0.25">
      <c r="C811" s="159"/>
      <c r="D811" s="165" t="s">
        <v>844</v>
      </c>
      <c r="E811" s="161">
        <v>42726</v>
      </c>
      <c r="F811" s="172" t="str">
        <f t="shared" si="39"/>
        <v>2016-17</v>
      </c>
      <c r="G811" s="68"/>
      <c r="H811" s="167" t="s">
        <v>279</v>
      </c>
      <c r="I811" s="173">
        <v>89592.114709699614</v>
      </c>
      <c r="J811" s="168">
        <f>IFERROR(MIN('MP Calculations'!$E$30/I811,1),"-")</f>
        <v>0.31014580161562261</v>
      </c>
      <c r="K811" s="12"/>
      <c r="L811" s="159">
        <v>1</v>
      </c>
      <c r="M811" s="159" t="s">
        <v>409</v>
      </c>
      <c r="N811" s="159">
        <v>19434.87</v>
      </c>
      <c r="O811" s="185">
        <f t="shared" si="40"/>
        <v>19434.87</v>
      </c>
      <c r="P811" s="215">
        <f t="shared" si="41"/>
        <v>6027.6433354454148</v>
      </c>
      <c r="Q811" s="215" cm="1">
        <f t="array" ref="Q811">IF(P811="-",0,P811/(1+'General inputs'!$H$32)^IFERROR(INDEX('MP Calculations'!$C$40:$C$130,MATCH(F811,'MP Calculations'!$D$40:$D$130,0),0),-1))</f>
        <v>7715.3185219738507</v>
      </c>
    </row>
    <row r="812" spans="3:17" x14ac:dyDescent="0.25">
      <c r="C812" s="159"/>
      <c r="D812" s="165" t="s">
        <v>845</v>
      </c>
      <c r="E812" s="161">
        <v>42726</v>
      </c>
      <c r="F812" s="172" t="str">
        <f t="shared" si="39"/>
        <v>2016-17</v>
      </c>
      <c r="G812" s="68"/>
      <c r="H812" s="167" t="s">
        <v>279</v>
      </c>
      <c r="I812" s="173">
        <v>89592.114709699614</v>
      </c>
      <c r="J812" s="168">
        <f>IFERROR(MIN('MP Calculations'!$E$30/I812,1),"-")</f>
        <v>0.31014580161562261</v>
      </c>
      <c r="K812" s="12"/>
      <c r="L812" s="159">
        <v>1</v>
      </c>
      <c r="M812" s="159" t="s">
        <v>409</v>
      </c>
      <c r="N812" s="159">
        <v>165973.92000000001</v>
      </c>
      <c r="O812" s="185">
        <f t="shared" si="40"/>
        <v>165973.92000000001</v>
      </c>
      <c r="P812" s="215">
        <f t="shared" si="41"/>
        <v>51476.11446568722</v>
      </c>
      <c r="Q812" s="215" cm="1">
        <f t="array" ref="Q812">IF(P812="-",0,P812/(1+'General inputs'!$H$32)^IFERROR(INDEX('MP Calculations'!$C$40:$C$130,MATCH(F812,'MP Calculations'!$D$40:$D$130,0),0),-1))</f>
        <v>65888.871864880304</v>
      </c>
    </row>
    <row r="813" spans="3:17" x14ac:dyDescent="0.25">
      <c r="C813" s="159"/>
      <c r="D813" s="165" t="s">
        <v>846</v>
      </c>
      <c r="E813" s="161">
        <v>42726</v>
      </c>
      <c r="F813" s="172" t="str">
        <f t="shared" si="39"/>
        <v>2016-17</v>
      </c>
      <c r="G813" s="68"/>
      <c r="H813" s="167" t="s">
        <v>279</v>
      </c>
      <c r="I813" s="173">
        <v>89592.114709699614</v>
      </c>
      <c r="J813" s="168">
        <f>IFERROR(MIN('MP Calculations'!$E$30/I813,1),"-")</f>
        <v>0.31014580161562261</v>
      </c>
      <c r="K813" s="12"/>
      <c r="L813" s="159">
        <v>1</v>
      </c>
      <c r="M813" s="159" t="s">
        <v>409</v>
      </c>
      <c r="N813" s="159">
        <v>458794.37</v>
      </c>
      <c r="O813" s="185">
        <f t="shared" si="40"/>
        <v>458794.37</v>
      </c>
      <c r="P813" s="215">
        <f t="shared" si="41"/>
        <v>142293.14766038457</v>
      </c>
      <c r="Q813" s="215" cm="1">
        <f t="array" ref="Q813">IF(P813="-",0,P813/(1+'General inputs'!$H$32)^IFERROR(INDEX('MP Calculations'!$C$40:$C$130,MATCH(F813,'MP Calculations'!$D$40:$D$130,0),0),-1))</f>
        <v>182133.69580750089</v>
      </c>
    </row>
    <row r="814" spans="3:17" x14ac:dyDescent="0.25">
      <c r="C814" s="159"/>
      <c r="D814" s="165" t="s">
        <v>847</v>
      </c>
      <c r="E814" s="161">
        <v>42726</v>
      </c>
      <c r="F814" s="172" t="str">
        <f t="shared" si="39"/>
        <v>2016-17</v>
      </c>
      <c r="G814" s="68"/>
      <c r="H814" s="167" t="s">
        <v>279</v>
      </c>
      <c r="I814" s="173">
        <v>89592.114709699614</v>
      </c>
      <c r="J814" s="168">
        <f>IFERROR(MIN('MP Calculations'!$E$30/I814,1),"-")</f>
        <v>0.31014580161562261</v>
      </c>
      <c r="K814" s="12"/>
      <c r="L814" s="159">
        <v>1</v>
      </c>
      <c r="M814" s="159" t="s">
        <v>409</v>
      </c>
      <c r="N814" s="159">
        <v>35465.050000000003</v>
      </c>
      <c r="O814" s="185">
        <f t="shared" si="40"/>
        <v>35465.050000000003</v>
      </c>
      <c r="P814" s="215">
        <f t="shared" si="41"/>
        <v>10999.336361588137</v>
      </c>
      <c r="Q814" s="215" cm="1">
        <f t="array" ref="Q814">IF(P814="-",0,P814/(1+'General inputs'!$H$32)^IFERROR(INDEX('MP Calculations'!$C$40:$C$130,MATCH(F814,'MP Calculations'!$D$40:$D$130,0),0),-1))</f>
        <v>14079.032025824137</v>
      </c>
    </row>
    <row r="815" spans="3:17" x14ac:dyDescent="0.25">
      <c r="C815" s="159"/>
      <c r="D815" s="165" t="s">
        <v>848</v>
      </c>
      <c r="E815" s="161">
        <v>42726</v>
      </c>
      <c r="F815" s="172" t="str">
        <f t="shared" si="39"/>
        <v>2016-17</v>
      </c>
      <c r="G815" s="68"/>
      <c r="H815" s="167" t="s">
        <v>279</v>
      </c>
      <c r="I815" s="173">
        <v>89592.114709699614</v>
      </c>
      <c r="J815" s="168">
        <f>IFERROR(MIN('MP Calculations'!$E$30/I815,1),"-")</f>
        <v>0.31014580161562261</v>
      </c>
      <c r="K815" s="12"/>
      <c r="L815" s="159">
        <v>1</v>
      </c>
      <c r="M815" s="159" t="s">
        <v>409</v>
      </c>
      <c r="N815" s="159">
        <v>20627.55</v>
      </c>
      <c r="O815" s="185">
        <f t="shared" si="40"/>
        <v>20627.55</v>
      </c>
      <c r="P815" s="215">
        <f t="shared" si="41"/>
        <v>6397.5480301163361</v>
      </c>
      <c r="Q815" s="215" cm="1">
        <f t="array" ref="Q815">IF(P815="-",0,P815/(1+'General inputs'!$H$32)^IFERROR(INDEX('MP Calculations'!$C$40:$C$130,MATCH(F815,'MP Calculations'!$D$40:$D$130,0),0),-1))</f>
        <v>8188.7925454578153</v>
      </c>
    </row>
    <row r="816" spans="3:17" x14ac:dyDescent="0.25">
      <c r="C816" s="159"/>
      <c r="D816" s="165" t="s">
        <v>849</v>
      </c>
      <c r="E816" s="161">
        <v>42726</v>
      </c>
      <c r="F816" s="172" t="str">
        <f t="shared" si="39"/>
        <v>2016-17</v>
      </c>
      <c r="G816" s="68"/>
      <c r="H816" s="167" t="s">
        <v>279</v>
      </c>
      <c r="I816" s="173">
        <v>89592.114709699614</v>
      </c>
      <c r="J816" s="168">
        <f>IFERROR(MIN('MP Calculations'!$E$30/I816,1),"-")</f>
        <v>0.31014580161562261</v>
      </c>
      <c r="K816" s="12"/>
      <c r="L816" s="159">
        <v>1</v>
      </c>
      <c r="M816" s="159" t="s">
        <v>409</v>
      </c>
      <c r="N816" s="159">
        <v>47176.44</v>
      </c>
      <c r="O816" s="185">
        <f t="shared" si="40"/>
        <v>47176.44</v>
      </c>
      <c r="P816" s="215">
        <f t="shared" si="41"/>
        <v>14631.574801171324</v>
      </c>
      <c r="Q816" s="215" cm="1">
        <f t="array" ref="Q816">IF(P816="-",0,P816/(1+'General inputs'!$H$32)^IFERROR(INDEX('MP Calculations'!$C$40:$C$130,MATCH(F816,'MP Calculations'!$D$40:$D$130,0),0),-1))</f>
        <v>18728.258091399024</v>
      </c>
    </row>
    <row r="817" spans="3:17" x14ac:dyDescent="0.25">
      <c r="C817" s="159"/>
      <c r="D817" s="165" t="s">
        <v>850</v>
      </c>
      <c r="E817" s="161">
        <v>42726</v>
      </c>
      <c r="F817" s="172" t="str">
        <f t="shared" si="39"/>
        <v>2016-17</v>
      </c>
      <c r="G817" s="68"/>
      <c r="H817" s="167" t="s">
        <v>279</v>
      </c>
      <c r="I817" s="173">
        <v>89592.114709699614</v>
      </c>
      <c r="J817" s="168">
        <f>IFERROR(MIN('MP Calculations'!$E$30/I817,1),"-")</f>
        <v>0.31014580161562261</v>
      </c>
      <c r="K817" s="12"/>
      <c r="L817" s="159">
        <v>1</v>
      </c>
      <c r="M817" s="159" t="s">
        <v>409</v>
      </c>
      <c r="N817" s="159">
        <v>137118.38</v>
      </c>
      <c r="O817" s="185">
        <f t="shared" si="40"/>
        <v>137118.38</v>
      </c>
      <c r="P817" s="215">
        <f t="shared" si="41"/>
        <v>42526.689881335558</v>
      </c>
      <c r="Q817" s="215" cm="1">
        <f t="array" ref="Q817">IF(P817="-",0,P817/(1+'General inputs'!$H$32)^IFERROR(INDEX('MP Calculations'!$C$40:$C$130,MATCH(F817,'MP Calculations'!$D$40:$D$130,0),0),-1))</f>
        <v>54433.704826276124</v>
      </c>
    </row>
    <row r="818" spans="3:17" x14ac:dyDescent="0.25">
      <c r="C818" s="159"/>
      <c r="D818" s="165" t="s">
        <v>851</v>
      </c>
      <c r="E818" s="161">
        <v>42726</v>
      </c>
      <c r="F818" s="172" t="str">
        <f t="shared" si="39"/>
        <v>2016-17</v>
      </c>
      <c r="G818" s="68"/>
      <c r="H818" s="167" t="s">
        <v>279</v>
      </c>
      <c r="I818" s="173">
        <v>89592.114709699614</v>
      </c>
      <c r="J818" s="168">
        <f>IFERROR(MIN('MP Calculations'!$E$30/I818,1),"-")</f>
        <v>0.31014580161562261</v>
      </c>
      <c r="K818" s="12"/>
      <c r="L818" s="159">
        <v>1</v>
      </c>
      <c r="M818" s="159" t="s">
        <v>409</v>
      </c>
      <c r="N818" s="159">
        <v>99023.57</v>
      </c>
      <c r="O818" s="185">
        <f t="shared" si="40"/>
        <v>99023.57</v>
      </c>
      <c r="P818" s="215">
        <f t="shared" si="41"/>
        <v>30711.744496490719</v>
      </c>
      <c r="Q818" s="215" cm="1">
        <f t="array" ref="Q818">IF(P818="-",0,P818/(1+'General inputs'!$H$32)^IFERROR(INDEX('MP Calculations'!$C$40:$C$130,MATCH(F818,'MP Calculations'!$D$40:$D$130,0),0),-1))</f>
        <v>39310.702038808296</v>
      </c>
    </row>
    <row r="819" spans="3:17" x14ac:dyDescent="0.25">
      <c r="C819" s="159"/>
      <c r="D819" s="165" t="s">
        <v>852</v>
      </c>
      <c r="E819" s="161">
        <v>42760</v>
      </c>
      <c r="F819" s="172" t="str">
        <f t="shared" si="39"/>
        <v>2016-17</v>
      </c>
      <c r="G819" s="68"/>
      <c r="H819" s="167" t="s">
        <v>279</v>
      </c>
      <c r="I819" s="173">
        <v>89592.114709699614</v>
      </c>
      <c r="J819" s="168">
        <f>IFERROR(MIN('MP Calculations'!$E$30/I819,1),"-")</f>
        <v>0.31014580161562261</v>
      </c>
      <c r="K819" s="12"/>
      <c r="L819" s="159">
        <v>1</v>
      </c>
      <c r="M819" s="159" t="s">
        <v>409</v>
      </c>
      <c r="N819" s="159">
        <v>36256.31</v>
      </c>
      <c r="O819" s="185">
        <f t="shared" si="40"/>
        <v>36256.31</v>
      </c>
      <c r="P819" s="215">
        <f t="shared" si="41"/>
        <v>11244.742328574514</v>
      </c>
      <c r="Q819" s="215" cm="1">
        <f t="array" ref="Q819">IF(P819="-",0,P819/(1+'General inputs'!$H$32)^IFERROR(INDEX('MP Calculations'!$C$40:$C$130,MATCH(F819,'MP Calculations'!$D$40:$D$130,0),0),-1))</f>
        <v>14393.149019336161</v>
      </c>
    </row>
    <row r="820" spans="3:17" x14ac:dyDescent="0.25">
      <c r="C820" s="159"/>
      <c r="D820" s="165" t="s">
        <v>853</v>
      </c>
      <c r="E820" s="161">
        <v>42777</v>
      </c>
      <c r="F820" s="172" t="str">
        <f t="shared" si="39"/>
        <v>2016-17</v>
      </c>
      <c r="G820" s="68"/>
      <c r="H820" s="167" t="s">
        <v>279</v>
      </c>
      <c r="I820" s="173">
        <v>89592.114709699614</v>
      </c>
      <c r="J820" s="168">
        <f>IFERROR(MIN('MP Calculations'!$E$30/I820,1),"-")</f>
        <v>0.31014580161562261</v>
      </c>
      <c r="K820" s="12"/>
      <c r="L820" s="159">
        <v>1</v>
      </c>
      <c r="M820" s="159" t="s">
        <v>409</v>
      </c>
      <c r="N820" s="159">
        <v>824.7</v>
      </c>
      <c r="O820" s="185">
        <f t="shared" si="40"/>
        <v>824.7</v>
      </c>
      <c r="P820" s="215">
        <f t="shared" si="41"/>
        <v>255.77724259240398</v>
      </c>
      <c r="Q820" s="215" cm="1">
        <f t="array" ref="Q820">IF(P820="-",0,P820/(1+'General inputs'!$H$32)^IFERROR(INDEX('MP Calculations'!$C$40:$C$130,MATCH(F820,'MP Calculations'!$D$40:$D$130,0),0),-1))</f>
        <v>327.3921145380358</v>
      </c>
    </row>
    <row r="821" spans="3:17" x14ac:dyDescent="0.25">
      <c r="C821" s="159"/>
      <c r="D821" s="165" t="s">
        <v>854</v>
      </c>
      <c r="E821" s="161">
        <v>42794</v>
      </c>
      <c r="F821" s="172" t="str">
        <f t="shared" si="39"/>
        <v>2016-17</v>
      </c>
      <c r="G821" s="68"/>
      <c r="H821" s="167" t="s">
        <v>279</v>
      </c>
      <c r="I821" s="173">
        <v>89592.114709699614</v>
      </c>
      <c r="J821" s="168">
        <f>IFERROR(MIN('MP Calculations'!$E$30/I821,1),"-")</f>
        <v>0.31014580161562261</v>
      </c>
      <c r="K821" s="12"/>
      <c r="L821" s="159">
        <v>1</v>
      </c>
      <c r="M821" s="159" t="s">
        <v>409</v>
      </c>
      <c r="N821" s="159">
        <v>3051.47</v>
      </c>
      <c r="O821" s="185">
        <f t="shared" si="40"/>
        <v>3051.47</v>
      </c>
      <c r="P821" s="215">
        <f t="shared" si="41"/>
        <v>946.40060925602381</v>
      </c>
      <c r="Q821" s="215" cm="1">
        <f t="array" ref="Q821">IF(P821="-",0,P821/(1+'General inputs'!$H$32)^IFERROR(INDEX('MP Calculations'!$C$40:$C$130,MATCH(F821,'MP Calculations'!$D$40:$D$130,0),0),-1))</f>
        <v>1211.382582453474</v>
      </c>
    </row>
    <row r="822" spans="3:17" x14ac:dyDescent="0.25">
      <c r="C822" s="159"/>
      <c r="D822" s="165" t="s">
        <v>855</v>
      </c>
      <c r="E822" s="161">
        <v>42801</v>
      </c>
      <c r="F822" s="172" t="str">
        <f t="shared" si="39"/>
        <v>2016-17</v>
      </c>
      <c r="G822" s="68"/>
      <c r="H822" s="167" t="s">
        <v>279</v>
      </c>
      <c r="I822" s="173">
        <v>89592.114709699614</v>
      </c>
      <c r="J822" s="168">
        <f>IFERROR(MIN('MP Calculations'!$E$30/I822,1),"-")</f>
        <v>0.31014580161562261</v>
      </c>
      <c r="K822" s="12"/>
      <c r="L822" s="159">
        <v>1</v>
      </c>
      <c r="M822" s="159" t="s">
        <v>409</v>
      </c>
      <c r="N822" s="159">
        <v>54629.05</v>
      </c>
      <c r="O822" s="185">
        <f t="shared" si="40"/>
        <v>54629.05</v>
      </c>
      <c r="P822" s="215">
        <f t="shared" si="41"/>
        <v>16942.97050374993</v>
      </c>
      <c r="Q822" s="215" cm="1">
        <f t="array" ref="Q822">IF(P822="-",0,P822/(1+'General inputs'!$H$32)^IFERROR(INDEX('MP Calculations'!$C$40:$C$130,MATCH(F822,'MP Calculations'!$D$40:$D$130,0),0),-1))</f>
        <v>21686.81968558759</v>
      </c>
    </row>
    <row r="823" spans="3:17" x14ac:dyDescent="0.25">
      <c r="C823" s="159"/>
      <c r="D823" s="165" t="s">
        <v>292</v>
      </c>
      <c r="E823" s="161">
        <v>42816</v>
      </c>
      <c r="F823" s="172" t="str">
        <f t="shared" si="39"/>
        <v>2016-17</v>
      </c>
      <c r="G823" s="68"/>
      <c r="H823" s="167" t="s">
        <v>279</v>
      </c>
      <c r="I823" s="173">
        <v>89592.114709699614</v>
      </c>
      <c r="J823" s="168">
        <f>IFERROR(MIN('MP Calculations'!$E$30/I823,1),"-")</f>
        <v>0.31014580161562261</v>
      </c>
      <c r="K823" s="12"/>
      <c r="L823" s="159">
        <v>2.9999950000000002</v>
      </c>
      <c r="M823" s="159" t="s">
        <v>408</v>
      </c>
      <c r="N823" s="159">
        <v>726</v>
      </c>
      <c r="O823" s="185">
        <f t="shared" si="40"/>
        <v>2177.9963700000003</v>
      </c>
      <c r="P823" s="215">
        <f t="shared" si="41"/>
        <v>675.49643008956627</v>
      </c>
      <c r="Q823" s="215" cm="1">
        <f t="array" ref="Q823">IF(P823="-",0,P823/(1+'General inputs'!$H$32)^IFERROR(INDEX('MP Calculations'!$C$40:$C$130,MATCH(F823,'MP Calculations'!$D$40:$D$130,0),0),-1))</f>
        <v>864.62815209223504</v>
      </c>
    </row>
    <row r="824" spans="3:17" x14ac:dyDescent="0.25">
      <c r="C824" s="159"/>
      <c r="D824" s="165" t="s">
        <v>856</v>
      </c>
      <c r="E824" s="161">
        <v>42844</v>
      </c>
      <c r="F824" s="172" t="str">
        <f t="shared" si="39"/>
        <v>2016-17</v>
      </c>
      <c r="G824" s="68"/>
      <c r="H824" s="167" t="s">
        <v>279</v>
      </c>
      <c r="I824" s="173">
        <v>89592.114709699614</v>
      </c>
      <c r="J824" s="168">
        <f>IFERROR(MIN('MP Calculations'!$E$30/I824,1),"-")</f>
        <v>0.31014580161562261</v>
      </c>
      <c r="K824" s="12"/>
      <c r="L824" s="159">
        <v>1</v>
      </c>
      <c r="M824" s="159" t="s">
        <v>409</v>
      </c>
      <c r="N824" s="159">
        <v>295388.74</v>
      </c>
      <c r="O824" s="185">
        <f t="shared" si="40"/>
        <v>295388.74</v>
      </c>
      <c r="P824" s="215">
        <f t="shared" si="41"/>
        <v>91613.577555528725</v>
      </c>
      <c r="Q824" s="215" cm="1">
        <f t="array" ref="Q824">IF(P824="-",0,P824/(1+'General inputs'!$H$32)^IFERROR(INDEX('MP Calculations'!$C$40:$C$130,MATCH(F824,'MP Calculations'!$D$40:$D$130,0),0),-1))</f>
        <v>117264.39214178013</v>
      </c>
    </row>
    <row r="825" spans="3:17" x14ac:dyDescent="0.25">
      <c r="C825" s="159"/>
      <c r="D825" s="165" t="s">
        <v>856</v>
      </c>
      <c r="E825" s="161">
        <v>42844</v>
      </c>
      <c r="F825" s="172" t="str">
        <f t="shared" si="39"/>
        <v>2016-17</v>
      </c>
      <c r="G825" s="68"/>
      <c r="H825" s="167" t="s">
        <v>279</v>
      </c>
      <c r="I825" s="173">
        <v>89592.114709699614</v>
      </c>
      <c r="J825" s="168">
        <f>IFERROR(MIN('MP Calculations'!$E$30/I825,1),"-")</f>
        <v>0.31014580161562261</v>
      </c>
      <c r="K825" s="12"/>
      <c r="L825" s="159">
        <v>1</v>
      </c>
      <c r="M825" s="159" t="s">
        <v>409</v>
      </c>
      <c r="N825" s="159">
        <v>80597.789999999994</v>
      </c>
      <c r="O825" s="185">
        <f t="shared" si="40"/>
        <v>80597.789999999994</v>
      </c>
      <c r="P825" s="215">
        <f t="shared" si="41"/>
        <v>24997.066187997611</v>
      </c>
      <c r="Q825" s="215" cm="1">
        <f t="array" ref="Q825">IF(P825="-",0,P825/(1+'General inputs'!$H$32)^IFERROR(INDEX('MP Calculations'!$C$40:$C$130,MATCH(F825,'MP Calculations'!$D$40:$D$130,0),0),-1))</f>
        <v>31995.975379159154</v>
      </c>
    </row>
    <row r="826" spans="3:17" x14ac:dyDescent="0.25">
      <c r="C826" s="159"/>
      <c r="D826" s="165" t="s">
        <v>856</v>
      </c>
      <c r="E826" s="161">
        <v>42844</v>
      </c>
      <c r="F826" s="172" t="str">
        <f t="shared" si="39"/>
        <v>2016-17</v>
      </c>
      <c r="G826" s="68"/>
      <c r="H826" s="167" t="s">
        <v>279</v>
      </c>
      <c r="I826" s="173">
        <v>89592.114709699614</v>
      </c>
      <c r="J826" s="168">
        <f>IFERROR(MIN('MP Calculations'!$E$30/I826,1),"-")</f>
        <v>0.31014580161562261</v>
      </c>
      <c r="K826" s="12"/>
      <c r="L826" s="159">
        <v>1</v>
      </c>
      <c r="M826" s="159" t="s">
        <v>409</v>
      </c>
      <c r="N826" s="159">
        <v>71678.97</v>
      </c>
      <c r="O826" s="185">
        <f t="shared" si="40"/>
        <v>71678.97</v>
      </c>
      <c r="P826" s="215">
        <f t="shared" si="41"/>
        <v>22230.931609632164</v>
      </c>
      <c r="Q826" s="215" cm="1">
        <f t="array" ref="Q826">IF(P826="-",0,P826/(1+'General inputs'!$H$32)^IFERROR(INDEX('MP Calculations'!$C$40:$C$130,MATCH(F826,'MP Calculations'!$D$40:$D$130,0),0),-1))</f>
        <v>28455.352923740062</v>
      </c>
    </row>
    <row r="827" spans="3:17" x14ac:dyDescent="0.25">
      <c r="C827" s="159"/>
      <c r="D827" s="165" t="s">
        <v>857</v>
      </c>
      <c r="E827" s="161">
        <v>42855</v>
      </c>
      <c r="F827" s="172" t="str">
        <f t="shared" si="39"/>
        <v>2016-17</v>
      </c>
      <c r="G827" s="68"/>
      <c r="H827" s="167" t="s">
        <v>279</v>
      </c>
      <c r="I827" s="173">
        <v>89592.114709699614</v>
      </c>
      <c r="J827" s="168">
        <f>IFERROR(MIN('MP Calculations'!$E$30/I827,1),"-")</f>
        <v>0.31014580161562261</v>
      </c>
      <c r="K827" s="12"/>
      <c r="L827" s="159">
        <v>1</v>
      </c>
      <c r="M827" s="159" t="s">
        <v>409</v>
      </c>
      <c r="N827" s="159">
        <v>9610918.0800000001</v>
      </c>
      <c r="O827" s="185">
        <f t="shared" si="40"/>
        <v>9610918.0800000001</v>
      </c>
      <c r="P827" s="215">
        <f t="shared" si="41"/>
        <v>2980785.8921836806</v>
      </c>
      <c r="Q827" s="215" cm="1">
        <f t="array" ref="Q827">IF(P827="-",0,P827/(1+'General inputs'!$H$32)^IFERROR(INDEX('MP Calculations'!$C$40:$C$130,MATCH(F827,'MP Calculations'!$D$40:$D$130,0),0),-1))</f>
        <v>3815373.8242549277</v>
      </c>
    </row>
    <row r="828" spans="3:17" x14ac:dyDescent="0.25">
      <c r="C828" s="159"/>
      <c r="D828" s="165" t="s">
        <v>858</v>
      </c>
      <c r="E828" s="161">
        <v>42855</v>
      </c>
      <c r="F828" s="172" t="str">
        <f t="shared" si="39"/>
        <v>2016-17</v>
      </c>
      <c r="G828" s="68"/>
      <c r="H828" s="167" t="s">
        <v>279</v>
      </c>
      <c r="I828" s="173">
        <v>89592.114709699614</v>
      </c>
      <c r="J828" s="168">
        <f>IFERROR(MIN('MP Calculations'!$E$30/I828,1),"-")</f>
        <v>0.31014580161562261</v>
      </c>
      <c r="K828" s="12"/>
      <c r="L828" s="159">
        <v>1</v>
      </c>
      <c r="M828" s="159" t="s">
        <v>409</v>
      </c>
      <c r="N828" s="159">
        <v>1989968.44</v>
      </c>
      <c r="O828" s="185">
        <f t="shared" si="40"/>
        <v>1989968.44</v>
      </c>
      <c r="P828" s="215">
        <f t="shared" si="41"/>
        <v>617180.35701358994</v>
      </c>
      <c r="Q828" s="215" cm="1">
        <f t="array" ref="Q828">IF(P828="-",0,P828/(1+'General inputs'!$H$32)^IFERROR(INDEX('MP Calculations'!$C$40:$C$130,MATCH(F828,'MP Calculations'!$D$40:$D$130,0),0),-1))</f>
        <v>789984.20690621599</v>
      </c>
    </row>
    <row r="829" spans="3:17" x14ac:dyDescent="0.25">
      <c r="C829" s="159"/>
      <c r="D829" s="165" t="s">
        <v>859</v>
      </c>
      <c r="E829" s="161">
        <v>42855</v>
      </c>
      <c r="F829" s="172" t="str">
        <f t="shared" si="39"/>
        <v>2016-17</v>
      </c>
      <c r="G829" s="68"/>
      <c r="H829" s="167" t="s">
        <v>279</v>
      </c>
      <c r="I829" s="173">
        <v>89592.114709699614</v>
      </c>
      <c r="J829" s="168">
        <f>IFERROR(MIN('MP Calculations'!$E$30/I829,1),"-")</f>
        <v>0.31014580161562261</v>
      </c>
      <c r="K829" s="12"/>
      <c r="L829" s="159">
        <v>1</v>
      </c>
      <c r="M829" s="159" t="s">
        <v>409</v>
      </c>
      <c r="N829" s="159">
        <v>3145113.93</v>
      </c>
      <c r="O829" s="185">
        <f t="shared" si="40"/>
        <v>3145113.93</v>
      </c>
      <c r="P829" s="215">
        <f t="shared" si="41"/>
        <v>975443.88099231117</v>
      </c>
      <c r="Q829" s="215" cm="1">
        <f t="array" ref="Q829">IF(P829="-",0,P829/(1+'General inputs'!$H$32)^IFERROR(INDEX('MP Calculations'!$C$40:$C$130,MATCH(F829,'MP Calculations'!$D$40:$D$130,0),0),-1))</f>
        <v>1248557.6573368884</v>
      </c>
    </row>
    <row r="830" spans="3:17" x14ac:dyDescent="0.25">
      <c r="C830" s="159"/>
      <c r="D830" s="165" t="s">
        <v>860</v>
      </c>
      <c r="E830" s="161">
        <v>42857</v>
      </c>
      <c r="F830" s="172" t="str">
        <f t="shared" si="39"/>
        <v>2016-17</v>
      </c>
      <c r="G830" s="68"/>
      <c r="H830" s="167" t="s">
        <v>279</v>
      </c>
      <c r="I830" s="173">
        <v>89592.114709699614</v>
      </c>
      <c r="J830" s="168">
        <f>IFERROR(MIN('MP Calculations'!$E$30/I830,1),"-")</f>
        <v>0.31014580161562261</v>
      </c>
      <c r="K830" s="12"/>
      <c r="L830" s="159">
        <v>1</v>
      </c>
      <c r="M830" s="159" t="s">
        <v>409</v>
      </c>
      <c r="N830" s="159">
        <v>27400.61</v>
      </c>
      <c r="O830" s="185">
        <f t="shared" si="40"/>
        <v>27400.61</v>
      </c>
      <c r="P830" s="215">
        <f t="shared" si="41"/>
        <v>8498.1841532070448</v>
      </c>
      <c r="Q830" s="215" cm="1">
        <f t="array" ref="Q830">IF(P830="-",0,P830/(1+'General inputs'!$H$32)^IFERROR(INDEX('MP Calculations'!$C$40:$C$130,MATCH(F830,'MP Calculations'!$D$40:$D$130,0),0),-1))</f>
        <v>10877.584148820235</v>
      </c>
    </row>
    <row r="831" spans="3:17" x14ac:dyDescent="0.25">
      <c r="C831" s="159"/>
      <c r="D831" s="165" t="s">
        <v>860</v>
      </c>
      <c r="E831" s="161">
        <v>42857</v>
      </c>
      <c r="F831" s="172" t="str">
        <f t="shared" si="39"/>
        <v>2016-17</v>
      </c>
      <c r="G831" s="68"/>
      <c r="H831" s="167" t="s">
        <v>279</v>
      </c>
      <c r="I831" s="173">
        <v>89592.114709699614</v>
      </c>
      <c r="J831" s="168">
        <f>IFERROR(MIN('MP Calculations'!$E$30/I831,1),"-")</f>
        <v>0.31014580161562261</v>
      </c>
      <c r="K831" s="12"/>
      <c r="L831" s="159">
        <v>1</v>
      </c>
      <c r="M831" s="159" t="s">
        <v>409</v>
      </c>
      <c r="N831" s="159">
        <v>27400.61</v>
      </c>
      <c r="O831" s="185">
        <f t="shared" si="40"/>
        <v>27400.61</v>
      </c>
      <c r="P831" s="215">
        <f t="shared" si="41"/>
        <v>8498.1841532070448</v>
      </c>
      <c r="Q831" s="215" cm="1">
        <f t="array" ref="Q831">IF(P831="-",0,P831/(1+'General inputs'!$H$32)^IFERROR(INDEX('MP Calculations'!$C$40:$C$130,MATCH(F831,'MP Calculations'!$D$40:$D$130,0),0),-1))</f>
        <v>10877.584148820235</v>
      </c>
    </row>
    <row r="832" spans="3:17" x14ac:dyDescent="0.25">
      <c r="C832" s="159"/>
      <c r="D832" s="165" t="s">
        <v>860</v>
      </c>
      <c r="E832" s="161">
        <v>42857</v>
      </c>
      <c r="F832" s="172" t="str">
        <f t="shared" si="39"/>
        <v>2016-17</v>
      </c>
      <c r="G832" s="68"/>
      <c r="H832" s="167" t="s">
        <v>279</v>
      </c>
      <c r="I832" s="173">
        <v>89592.114709699614</v>
      </c>
      <c r="J832" s="168">
        <f>IFERROR(MIN('MP Calculations'!$E$30/I832,1),"-")</f>
        <v>0.31014580161562261</v>
      </c>
      <c r="K832" s="12"/>
      <c r="L832" s="159">
        <v>1</v>
      </c>
      <c r="M832" s="159" t="s">
        <v>409</v>
      </c>
      <c r="N832" s="159">
        <v>27400.61</v>
      </c>
      <c r="O832" s="185">
        <f t="shared" si="40"/>
        <v>27400.61</v>
      </c>
      <c r="P832" s="215">
        <f t="shared" si="41"/>
        <v>8498.1841532070448</v>
      </c>
      <c r="Q832" s="215" cm="1">
        <f t="array" ref="Q832">IF(P832="-",0,P832/(1+'General inputs'!$H$32)^IFERROR(INDEX('MP Calculations'!$C$40:$C$130,MATCH(F832,'MP Calculations'!$D$40:$D$130,0),0),-1))</f>
        <v>10877.584148820235</v>
      </c>
    </row>
    <row r="833" spans="3:17" x14ac:dyDescent="0.25">
      <c r="C833" s="159"/>
      <c r="D833" s="165" t="s">
        <v>860</v>
      </c>
      <c r="E833" s="161">
        <v>42857</v>
      </c>
      <c r="F833" s="172" t="str">
        <f t="shared" si="39"/>
        <v>2016-17</v>
      </c>
      <c r="G833" s="68"/>
      <c r="H833" s="167" t="s">
        <v>279</v>
      </c>
      <c r="I833" s="173">
        <v>89592.114709699614</v>
      </c>
      <c r="J833" s="168">
        <f>IFERROR(MIN('MP Calculations'!$E$30/I833,1),"-")</f>
        <v>0.31014580161562261</v>
      </c>
      <c r="K833" s="12"/>
      <c r="L833" s="159">
        <v>1</v>
      </c>
      <c r="M833" s="159" t="s">
        <v>409</v>
      </c>
      <c r="N833" s="159">
        <v>27400.61</v>
      </c>
      <c r="O833" s="185">
        <f t="shared" si="40"/>
        <v>27400.61</v>
      </c>
      <c r="P833" s="215">
        <f t="shared" si="41"/>
        <v>8498.1841532070448</v>
      </c>
      <c r="Q833" s="215" cm="1">
        <f t="array" ref="Q833">IF(P833="-",0,P833/(1+'General inputs'!$H$32)^IFERROR(INDEX('MP Calculations'!$C$40:$C$130,MATCH(F833,'MP Calculations'!$D$40:$D$130,0),0),-1))</f>
        <v>10877.584148820235</v>
      </c>
    </row>
    <row r="834" spans="3:17" x14ac:dyDescent="0.25">
      <c r="C834" s="159"/>
      <c r="D834" s="165" t="s">
        <v>860</v>
      </c>
      <c r="E834" s="161">
        <v>42857</v>
      </c>
      <c r="F834" s="172" t="str">
        <f t="shared" si="39"/>
        <v>2016-17</v>
      </c>
      <c r="G834" s="68"/>
      <c r="H834" s="167" t="s">
        <v>279</v>
      </c>
      <c r="I834" s="173">
        <v>89592.114709699614</v>
      </c>
      <c r="J834" s="168">
        <f>IFERROR(MIN('MP Calculations'!$E$30/I834,1),"-")</f>
        <v>0.31014580161562261</v>
      </c>
      <c r="K834" s="12"/>
      <c r="L834" s="159">
        <v>1</v>
      </c>
      <c r="M834" s="159" t="s">
        <v>409</v>
      </c>
      <c r="N834" s="159">
        <v>27400.61</v>
      </c>
      <c r="O834" s="185">
        <f t="shared" si="40"/>
        <v>27400.61</v>
      </c>
      <c r="P834" s="215">
        <f t="shared" si="41"/>
        <v>8498.1841532070448</v>
      </c>
      <c r="Q834" s="215" cm="1">
        <f t="array" ref="Q834">IF(P834="-",0,P834/(1+'General inputs'!$H$32)^IFERROR(INDEX('MP Calculations'!$C$40:$C$130,MATCH(F834,'MP Calculations'!$D$40:$D$130,0),0),-1))</f>
        <v>10877.584148820235</v>
      </c>
    </row>
    <row r="835" spans="3:17" x14ac:dyDescent="0.25">
      <c r="C835" s="159"/>
      <c r="D835" s="165" t="s">
        <v>861</v>
      </c>
      <c r="E835" s="161">
        <v>42857</v>
      </c>
      <c r="F835" s="172" t="str">
        <f t="shared" si="39"/>
        <v>2016-17</v>
      </c>
      <c r="G835" s="68"/>
      <c r="H835" s="167" t="s">
        <v>279</v>
      </c>
      <c r="I835" s="173">
        <v>89592.114709699614</v>
      </c>
      <c r="J835" s="168">
        <f>IFERROR(MIN('MP Calculations'!$E$30/I835,1),"-")</f>
        <v>0.31014580161562261</v>
      </c>
      <c r="K835" s="12"/>
      <c r="L835" s="159">
        <v>1</v>
      </c>
      <c r="M835" s="159" t="s">
        <v>409</v>
      </c>
      <c r="N835" s="159">
        <v>37999.17</v>
      </c>
      <c r="O835" s="185">
        <f t="shared" si="40"/>
        <v>37999.17</v>
      </c>
      <c r="P835" s="215">
        <f t="shared" si="41"/>
        <v>11785.283040378317</v>
      </c>
      <c r="Q835" s="215" cm="1">
        <f t="array" ref="Q835">IF(P835="-",0,P835/(1+'General inputs'!$H$32)^IFERROR(INDEX('MP Calculations'!$C$40:$C$130,MATCH(F835,'MP Calculations'!$D$40:$D$130,0),0),-1))</f>
        <v>15085.035306160171</v>
      </c>
    </row>
    <row r="836" spans="3:17" x14ac:dyDescent="0.25">
      <c r="C836" s="159"/>
      <c r="D836" s="165" t="s">
        <v>862</v>
      </c>
      <c r="E836" s="161">
        <v>42880</v>
      </c>
      <c r="F836" s="172" t="str">
        <f t="shared" si="39"/>
        <v>2016-17</v>
      </c>
      <c r="G836" s="68"/>
      <c r="H836" s="167" t="s">
        <v>279</v>
      </c>
      <c r="I836" s="173">
        <v>89592.114709699614</v>
      </c>
      <c r="J836" s="168">
        <f>IFERROR(MIN('MP Calculations'!$E$30/I836,1),"-")</f>
        <v>0.31014580161562261</v>
      </c>
      <c r="K836" s="12"/>
      <c r="L836" s="159">
        <v>1</v>
      </c>
      <c r="M836" s="159" t="s">
        <v>409</v>
      </c>
      <c r="N836" s="159">
        <v>289356.08</v>
      </c>
      <c r="O836" s="185">
        <f t="shared" si="40"/>
        <v>289356.08</v>
      </c>
      <c r="P836" s="215">
        <f t="shared" si="41"/>
        <v>89742.573383954223</v>
      </c>
      <c r="Q836" s="215" cm="1">
        <f t="array" ref="Q836">IF(P836="-",0,P836/(1+'General inputs'!$H$32)^IFERROR(INDEX('MP Calculations'!$C$40:$C$130,MATCH(F836,'MP Calculations'!$D$40:$D$130,0),0),-1))</f>
        <v>114869.52696209172</v>
      </c>
    </row>
    <row r="837" spans="3:17" x14ac:dyDescent="0.25">
      <c r="C837" s="159"/>
      <c r="D837" s="165" t="s">
        <v>863</v>
      </c>
      <c r="E837" s="161">
        <v>42887</v>
      </c>
      <c r="F837" s="172" t="str">
        <f t="shared" si="39"/>
        <v>2016-17</v>
      </c>
      <c r="G837" s="68"/>
      <c r="H837" s="167" t="s">
        <v>279</v>
      </c>
      <c r="I837" s="173">
        <v>89592.114709699614</v>
      </c>
      <c r="J837" s="168">
        <f>IFERROR(MIN('MP Calculations'!$E$30/I837,1),"-")</f>
        <v>0.31014580161562261</v>
      </c>
      <c r="K837" s="12"/>
      <c r="L837" s="159">
        <v>1</v>
      </c>
      <c r="M837" s="159" t="s">
        <v>409</v>
      </c>
      <c r="N837" s="159">
        <v>3039.77</v>
      </c>
      <c r="O837" s="185">
        <f t="shared" si="40"/>
        <v>3039.77</v>
      </c>
      <c r="P837" s="215">
        <f t="shared" si="41"/>
        <v>942.77190337712113</v>
      </c>
      <c r="Q837" s="215" cm="1">
        <f t="array" ref="Q837">IF(P837="-",0,P837/(1+'General inputs'!$H$32)^IFERROR(INDEX('MP Calculations'!$C$40:$C$130,MATCH(F837,'MP Calculations'!$D$40:$D$130,0),0),-1))</f>
        <v>1206.7378780275069</v>
      </c>
    </row>
    <row r="838" spans="3:17" x14ac:dyDescent="0.25">
      <c r="C838" s="159"/>
      <c r="D838" s="165" t="s">
        <v>864</v>
      </c>
      <c r="E838" s="161">
        <v>42887</v>
      </c>
      <c r="F838" s="172" t="str">
        <f t="shared" si="39"/>
        <v>2016-17</v>
      </c>
      <c r="G838" s="68"/>
      <c r="H838" s="167" t="s">
        <v>279</v>
      </c>
      <c r="I838" s="173">
        <v>89592.114709699614</v>
      </c>
      <c r="J838" s="168">
        <f>IFERROR(MIN('MP Calculations'!$E$30/I838,1),"-")</f>
        <v>0.31014580161562261</v>
      </c>
      <c r="K838" s="12"/>
      <c r="L838" s="159">
        <v>1</v>
      </c>
      <c r="M838" s="159" t="s">
        <v>409</v>
      </c>
      <c r="N838" s="159">
        <v>2125.39</v>
      </c>
      <c r="O838" s="185">
        <f t="shared" si="40"/>
        <v>2125.39</v>
      </c>
      <c r="P838" s="215">
        <f t="shared" si="41"/>
        <v>659.18078529582806</v>
      </c>
      <c r="Q838" s="215" cm="1">
        <f t="array" ref="Q838">IF(P838="-",0,P838/(1+'General inputs'!$H$32)^IFERROR(INDEX('MP Calculations'!$C$40:$C$130,MATCH(F838,'MP Calculations'!$D$40:$D$130,0),0),-1))</f>
        <v>843.74430255607592</v>
      </c>
    </row>
    <row r="839" spans="3:17" x14ac:dyDescent="0.25">
      <c r="C839" s="159"/>
      <c r="D839" s="165" t="s">
        <v>865</v>
      </c>
      <c r="E839" s="161">
        <v>42887</v>
      </c>
      <c r="F839" s="172" t="str">
        <f t="shared" si="39"/>
        <v>2016-17</v>
      </c>
      <c r="G839" s="68"/>
      <c r="H839" s="167" t="s">
        <v>279</v>
      </c>
      <c r="I839" s="173">
        <v>89592.114709699614</v>
      </c>
      <c r="J839" s="168">
        <f>IFERROR(MIN('MP Calculations'!$E$30/I839,1),"-")</f>
        <v>0.31014580161562261</v>
      </c>
      <c r="K839" s="12"/>
      <c r="L839" s="159">
        <v>1</v>
      </c>
      <c r="M839" s="159" t="s">
        <v>409</v>
      </c>
      <c r="N839" s="159">
        <v>1238.1099999999999</v>
      </c>
      <c r="O839" s="185">
        <f t="shared" si="40"/>
        <v>1238.1099999999999</v>
      </c>
      <c r="P839" s="215">
        <f t="shared" si="41"/>
        <v>383.99461843831847</v>
      </c>
      <c r="Q839" s="215" cm="1">
        <f t="array" ref="Q839">IF(P839="-",0,P839/(1+'General inputs'!$H$32)^IFERROR(INDEX('MP Calculations'!$C$40:$C$130,MATCH(F839,'MP Calculations'!$D$40:$D$130,0),0),-1))</f>
        <v>491.50897408838057</v>
      </c>
    </row>
    <row r="840" spans="3:17" x14ac:dyDescent="0.25">
      <c r="C840" s="159"/>
      <c r="D840" s="165" t="s">
        <v>866</v>
      </c>
      <c r="E840" s="161">
        <v>42887</v>
      </c>
      <c r="F840" s="172" t="str">
        <f t="shared" si="39"/>
        <v>2016-17</v>
      </c>
      <c r="G840" s="68"/>
      <c r="H840" s="167" t="s">
        <v>279</v>
      </c>
      <c r="I840" s="173">
        <v>89592.114709699614</v>
      </c>
      <c r="J840" s="168">
        <f>IFERROR(MIN('MP Calculations'!$E$30/I840,1),"-")</f>
        <v>0.31014580161562261</v>
      </c>
      <c r="K840" s="12"/>
      <c r="L840" s="159">
        <v>1</v>
      </c>
      <c r="M840" s="159" t="s">
        <v>409</v>
      </c>
      <c r="N840" s="159">
        <v>1967.24</v>
      </c>
      <c r="O840" s="185">
        <f t="shared" si="40"/>
        <v>1967.24</v>
      </c>
      <c r="P840" s="215">
        <f t="shared" si="41"/>
        <v>610.13122677031743</v>
      </c>
      <c r="Q840" s="215" cm="1">
        <f t="array" ref="Q840">IF(P840="-",0,P840/(1+'General inputs'!$H$32)^IFERROR(INDEX('MP Calculations'!$C$40:$C$130,MATCH(F840,'MP Calculations'!$D$40:$D$130,0),0),-1))</f>
        <v>780.96139614866684</v>
      </c>
    </row>
    <row r="841" spans="3:17" x14ac:dyDescent="0.25">
      <c r="C841" s="159"/>
      <c r="D841" s="165" t="s">
        <v>867</v>
      </c>
      <c r="E841" s="161">
        <v>42887</v>
      </c>
      <c r="F841" s="172" t="str">
        <f t="shared" si="39"/>
        <v>2016-17</v>
      </c>
      <c r="G841" s="68"/>
      <c r="H841" s="167" t="s">
        <v>279</v>
      </c>
      <c r="I841" s="173">
        <v>89592.114709699614</v>
      </c>
      <c r="J841" s="168">
        <f>IFERROR(MIN('MP Calculations'!$E$30/I841,1),"-")</f>
        <v>0.31014580161562261</v>
      </c>
      <c r="K841" s="12"/>
      <c r="L841" s="159">
        <v>1</v>
      </c>
      <c r="M841" s="159" t="s">
        <v>409</v>
      </c>
      <c r="N841" s="159">
        <v>7263.06</v>
      </c>
      <c r="O841" s="185">
        <f t="shared" si="40"/>
        <v>7263.06</v>
      </c>
      <c r="P841" s="215">
        <f t="shared" si="41"/>
        <v>2252.6075658823643</v>
      </c>
      <c r="Q841" s="215" cm="1">
        <f t="array" ref="Q841">IF(P841="-",0,P841/(1+'General inputs'!$H$32)^IFERROR(INDEX('MP Calculations'!$C$40:$C$130,MATCH(F841,'MP Calculations'!$D$40:$D$130,0),0),-1))</f>
        <v>2883.3134126550581</v>
      </c>
    </row>
    <row r="842" spans="3:17" x14ac:dyDescent="0.25">
      <c r="C842" s="159"/>
      <c r="D842" s="165" t="s">
        <v>868</v>
      </c>
      <c r="E842" s="161">
        <v>42887</v>
      </c>
      <c r="F842" s="172" t="str">
        <f t="shared" si="39"/>
        <v>2016-17</v>
      </c>
      <c r="G842" s="68"/>
      <c r="H842" s="167" t="s">
        <v>279</v>
      </c>
      <c r="I842" s="173">
        <v>89592.114709699614</v>
      </c>
      <c r="J842" s="168">
        <f>IFERROR(MIN('MP Calculations'!$E$30/I842,1),"-")</f>
        <v>0.31014580161562261</v>
      </c>
      <c r="K842" s="12"/>
      <c r="L842" s="159">
        <v>1</v>
      </c>
      <c r="M842" s="159" t="s">
        <v>409</v>
      </c>
      <c r="N842" s="159">
        <v>1878.85</v>
      </c>
      <c r="O842" s="185">
        <f t="shared" si="40"/>
        <v>1878.85</v>
      </c>
      <c r="P842" s="215">
        <f t="shared" si="41"/>
        <v>582.71743936551252</v>
      </c>
      <c r="Q842" s="215" cm="1">
        <f t="array" ref="Q842">IF(P842="-",0,P842/(1+'General inputs'!$H$32)^IFERROR(INDEX('MP Calculations'!$C$40:$C$130,MATCH(F842,'MP Calculations'!$D$40:$D$130,0),0),-1))</f>
        <v>745.87204365198068</v>
      </c>
    </row>
    <row r="843" spans="3:17" x14ac:dyDescent="0.25">
      <c r="C843" s="159"/>
      <c r="D843" s="165" t="s">
        <v>869</v>
      </c>
      <c r="E843" s="161">
        <v>42887</v>
      </c>
      <c r="F843" s="172" t="str">
        <f t="shared" si="39"/>
        <v>2016-17</v>
      </c>
      <c r="G843" s="68"/>
      <c r="H843" s="167" t="s">
        <v>279</v>
      </c>
      <c r="I843" s="173">
        <v>89592.114709699614</v>
      </c>
      <c r="J843" s="168">
        <f>IFERROR(MIN('MP Calculations'!$E$30/I843,1),"-")</f>
        <v>0.31014580161562261</v>
      </c>
      <c r="K843" s="12"/>
      <c r="L843" s="159">
        <v>1</v>
      </c>
      <c r="M843" s="159" t="s">
        <v>409</v>
      </c>
      <c r="N843" s="159">
        <v>1334.14</v>
      </c>
      <c r="O843" s="185">
        <f t="shared" si="40"/>
        <v>1334.14</v>
      </c>
      <c r="P843" s="215">
        <f t="shared" si="41"/>
        <v>413.77791976746676</v>
      </c>
      <c r="Q843" s="215" cm="1">
        <f t="array" ref="Q843">IF(P843="-",0,P843/(1+'General inputs'!$H$32)^IFERROR(INDEX('MP Calculations'!$C$40:$C$130,MATCH(F843,'MP Calculations'!$D$40:$D$130,0),0),-1))</f>
        <v>529.63127887689473</v>
      </c>
    </row>
    <row r="844" spans="3:17" x14ac:dyDescent="0.25">
      <c r="C844" s="159"/>
      <c r="D844" s="165" t="s">
        <v>870</v>
      </c>
      <c r="E844" s="161">
        <v>42902</v>
      </c>
      <c r="F844" s="172" t="str">
        <f t="shared" si="39"/>
        <v>2016-17</v>
      </c>
      <c r="G844" s="68"/>
      <c r="H844" s="167" t="s">
        <v>279</v>
      </c>
      <c r="I844" s="173">
        <v>89592.114709699614</v>
      </c>
      <c r="J844" s="168">
        <f>IFERROR(MIN('MP Calculations'!$E$30/I844,1),"-")</f>
        <v>0.31014580161562261</v>
      </c>
      <c r="K844" s="12"/>
      <c r="L844" s="159">
        <v>1</v>
      </c>
      <c r="M844" s="159" t="s">
        <v>409</v>
      </c>
      <c r="N844" s="159">
        <v>26327.93</v>
      </c>
      <c r="O844" s="185">
        <f t="shared" si="40"/>
        <v>26327.93</v>
      </c>
      <c r="P844" s="215">
        <f t="shared" si="41"/>
        <v>8165.4969547299988</v>
      </c>
      <c r="Q844" s="215" cm="1">
        <f t="array" ref="Q844">IF(P844="-",0,P844/(1+'General inputs'!$H$32)^IFERROR(INDEX('MP Calculations'!$C$40:$C$130,MATCH(F844,'MP Calculations'!$D$40:$D$130,0),0),-1))</f>
        <v>10451.748119448755</v>
      </c>
    </row>
    <row r="845" spans="3:17" x14ac:dyDescent="0.25">
      <c r="C845" s="159"/>
      <c r="D845" s="165" t="s">
        <v>871</v>
      </c>
      <c r="E845" s="161">
        <v>42916</v>
      </c>
      <c r="F845" s="172" t="str">
        <f t="shared" si="39"/>
        <v>2016-17</v>
      </c>
      <c r="G845" s="68"/>
      <c r="H845" s="167" t="s">
        <v>279</v>
      </c>
      <c r="I845" s="173">
        <v>89592.114709699614</v>
      </c>
      <c r="J845" s="168">
        <f>IFERROR(MIN('MP Calculations'!$E$30/I845,1),"-")</f>
        <v>0.31014580161562261</v>
      </c>
      <c r="K845" s="12"/>
      <c r="L845" s="159">
        <v>1</v>
      </c>
      <c r="M845" s="159" t="s">
        <v>409</v>
      </c>
      <c r="N845" s="159">
        <v>410.37</v>
      </c>
      <c r="O845" s="185">
        <f t="shared" si="40"/>
        <v>410.37</v>
      </c>
      <c r="P845" s="215">
        <f t="shared" si="41"/>
        <v>127.27453260900305</v>
      </c>
      <c r="Q845" s="215" cm="1">
        <f t="array" ref="Q845">IF(P845="-",0,P845/(1+'General inputs'!$H$32)^IFERROR(INDEX('MP Calculations'!$C$40:$C$130,MATCH(F845,'MP Calculations'!$D$40:$D$130,0),0),-1))</f>
        <v>162.91003036616192</v>
      </c>
    </row>
    <row r="846" spans="3:17" x14ac:dyDescent="0.25">
      <c r="C846" s="159"/>
      <c r="D846" s="165" t="s">
        <v>872</v>
      </c>
      <c r="E846" s="161">
        <v>42916</v>
      </c>
      <c r="F846" s="172" t="str">
        <f t="shared" si="39"/>
        <v>2016-17</v>
      </c>
      <c r="G846" s="68"/>
      <c r="H846" s="167" t="s">
        <v>279</v>
      </c>
      <c r="I846" s="173">
        <v>89592.114709699614</v>
      </c>
      <c r="J846" s="168">
        <f>IFERROR(MIN('MP Calculations'!$E$30/I846,1),"-")</f>
        <v>0.31014580161562261</v>
      </c>
      <c r="K846" s="12"/>
      <c r="L846" s="159">
        <v>1</v>
      </c>
      <c r="M846" s="159" t="s">
        <v>409</v>
      </c>
      <c r="N846" s="159">
        <v>351.47</v>
      </c>
      <c r="O846" s="185">
        <f t="shared" si="40"/>
        <v>351.47</v>
      </c>
      <c r="P846" s="215">
        <f t="shared" si="41"/>
        <v>109.00694489384288</v>
      </c>
      <c r="Q846" s="215" cm="1">
        <f t="array" ref="Q846">IF(P846="-",0,P846/(1+'General inputs'!$H$32)^IFERROR(INDEX('MP Calculations'!$C$40:$C$130,MATCH(F846,'MP Calculations'!$D$40:$D$130,0),0),-1))</f>
        <v>139.52771492261846</v>
      </c>
    </row>
    <row r="847" spans="3:17" x14ac:dyDescent="0.25">
      <c r="C847" s="159"/>
      <c r="D847" s="165" t="s">
        <v>873</v>
      </c>
      <c r="E847" s="161">
        <v>42917</v>
      </c>
      <c r="F847" s="172" t="str">
        <f t="shared" si="39"/>
        <v>2017-18</v>
      </c>
      <c r="G847" s="68"/>
      <c r="H847" s="167" t="s">
        <v>279</v>
      </c>
      <c r="I847" s="173">
        <v>89592.114709699614</v>
      </c>
      <c r="J847" s="168">
        <f>IFERROR(MIN('MP Calculations'!$E$30/I847,1),"-")</f>
        <v>0.31014580161562261</v>
      </c>
      <c r="K847" s="12"/>
      <c r="L847" s="159">
        <v>1</v>
      </c>
      <c r="M847" s="159" t="s">
        <v>409</v>
      </c>
      <c r="N847" s="159">
        <v>9709.14</v>
      </c>
      <c r="O847" s="185">
        <f t="shared" si="40"/>
        <v>9709.14</v>
      </c>
      <c r="P847" s="215">
        <f t="shared" si="41"/>
        <v>3011.2490082983059</v>
      </c>
      <c r="Q847" s="215" cm="1">
        <f t="array" ref="Q847">IF(P847="-",0,P847/(1+'General inputs'!$H$32)^IFERROR(INDEX('MP Calculations'!$C$40:$C$130,MATCH(F847,'MP Calculations'!$D$40:$D$130,0),0),-1))</f>
        <v>3699.0079507139149</v>
      </c>
    </row>
    <row r="848" spans="3:17" x14ac:dyDescent="0.25">
      <c r="C848" s="159"/>
      <c r="D848" s="165" t="s">
        <v>874</v>
      </c>
      <c r="E848" s="161">
        <v>42991</v>
      </c>
      <c r="F848" s="172" t="str">
        <f t="shared" si="39"/>
        <v>2017-18</v>
      </c>
      <c r="G848" s="68"/>
      <c r="H848" s="167" t="s">
        <v>279</v>
      </c>
      <c r="I848" s="173">
        <v>89592.114709699614</v>
      </c>
      <c r="J848" s="168">
        <f>IFERROR(MIN('MP Calculations'!$E$30/I848,1),"-")</f>
        <v>0.31014580161562261</v>
      </c>
      <c r="K848" s="12"/>
      <c r="L848" s="159">
        <v>1</v>
      </c>
      <c r="M848" s="159" t="s">
        <v>409</v>
      </c>
      <c r="N848" s="159">
        <v>29899.89</v>
      </c>
      <c r="O848" s="185">
        <f t="shared" si="40"/>
        <v>29899.89</v>
      </c>
      <c r="P848" s="215">
        <f t="shared" si="41"/>
        <v>9273.3253522689374</v>
      </c>
      <c r="Q848" s="215" cm="1">
        <f t="array" ref="Q848">IF(P848="-",0,P848/(1+'General inputs'!$H$32)^IFERROR(INDEX('MP Calculations'!$C$40:$C$130,MATCH(F848,'MP Calculations'!$D$40:$D$130,0),0),-1))</f>
        <v>11391.321047535774</v>
      </c>
    </row>
    <row r="849" spans="3:17" x14ac:dyDescent="0.25">
      <c r="C849" s="159"/>
      <c r="D849" s="165" t="s">
        <v>875</v>
      </c>
      <c r="E849" s="161">
        <v>42998</v>
      </c>
      <c r="F849" s="172" t="str">
        <f t="shared" si="39"/>
        <v>2017-18</v>
      </c>
      <c r="G849" s="68"/>
      <c r="H849" s="167" t="s">
        <v>279</v>
      </c>
      <c r="I849" s="173">
        <v>89592.114709699614</v>
      </c>
      <c r="J849" s="168">
        <f>IFERROR(MIN('MP Calculations'!$E$30/I849,1),"-")</f>
        <v>0.31014580161562261</v>
      </c>
      <c r="K849" s="12"/>
      <c r="L849" s="159">
        <v>1</v>
      </c>
      <c r="M849" s="159" t="s">
        <v>409</v>
      </c>
      <c r="N849" s="159">
        <v>2572.42</v>
      </c>
      <c r="O849" s="185">
        <f t="shared" si="40"/>
        <v>2572.42</v>
      </c>
      <c r="P849" s="215">
        <f t="shared" si="41"/>
        <v>797.82526299205995</v>
      </c>
      <c r="Q849" s="215" cm="1">
        <f t="array" ref="Q849">IF(P849="-",0,P849/(1+'General inputs'!$H$32)^IFERROR(INDEX('MP Calculations'!$C$40:$C$130,MATCH(F849,'MP Calculations'!$D$40:$D$130,0),0),-1))</f>
        <v>980.04581585758262</v>
      </c>
    </row>
    <row r="850" spans="3:17" x14ac:dyDescent="0.25">
      <c r="C850" s="159"/>
      <c r="D850" s="165" t="s">
        <v>876</v>
      </c>
      <c r="E850" s="161">
        <v>43020</v>
      </c>
      <c r="F850" s="172" t="str">
        <f t="shared" si="39"/>
        <v>2017-18</v>
      </c>
      <c r="G850" s="68"/>
      <c r="H850" s="167" t="s">
        <v>279</v>
      </c>
      <c r="I850" s="173">
        <v>89592.114709699614</v>
      </c>
      <c r="J850" s="168">
        <f>IFERROR(MIN('MP Calculations'!$E$30/I850,1),"-")</f>
        <v>0.31014580161562261</v>
      </c>
      <c r="K850" s="12"/>
      <c r="L850" s="159">
        <v>1</v>
      </c>
      <c r="M850" s="159" t="s">
        <v>409</v>
      </c>
      <c r="N850" s="159">
        <v>1444.83</v>
      </c>
      <c r="O850" s="185">
        <f t="shared" si="40"/>
        <v>1444.83</v>
      </c>
      <c r="P850" s="215">
        <f t="shared" si="41"/>
        <v>448.10795854829996</v>
      </c>
      <c r="Q850" s="215" cm="1">
        <f t="array" ref="Q850">IF(P850="-",0,P850/(1+'General inputs'!$H$32)^IFERROR(INDEX('MP Calculations'!$C$40:$C$130,MATCH(F850,'MP Calculations'!$D$40:$D$130,0),0),-1))</f>
        <v>550.45427889905648</v>
      </c>
    </row>
    <row r="851" spans="3:17" x14ac:dyDescent="0.25">
      <c r="C851" s="159"/>
      <c r="D851" s="165" t="s">
        <v>877</v>
      </c>
      <c r="E851" s="161">
        <v>43033</v>
      </c>
      <c r="F851" s="172" t="str">
        <f t="shared" si="39"/>
        <v>2017-18</v>
      </c>
      <c r="G851" s="68"/>
      <c r="H851" s="167" t="s">
        <v>279</v>
      </c>
      <c r="I851" s="173">
        <v>89592.114709699614</v>
      </c>
      <c r="J851" s="168">
        <f>IFERROR(MIN('MP Calculations'!$E$30/I851,1),"-")</f>
        <v>0.31014580161562261</v>
      </c>
      <c r="K851" s="12"/>
      <c r="L851" s="159">
        <v>1</v>
      </c>
      <c r="M851" s="159" t="s">
        <v>409</v>
      </c>
      <c r="N851" s="159">
        <v>29963.46</v>
      </c>
      <c r="O851" s="185">
        <f t="shared" si="40"/>
        <v>29963.46</v>
      </c>
      <c r="P851" s="215">
        <f t="shared" si="41"/>
        <v>9293.0413208776426</v>
      </c>
      <c r="Q851" s="215" cm="1">
        <f t="array" ref="Q851">IF(P851="-",0,P851/(1+'General inputs'!$H$32)^IFERROR(INDEX('MP Calculations'!$C$40:$C$130,MATCH(F851,'MP Calculations'!$D$40:$D$130,0),0),-1))</f>
        <v>11415.540075732595</v>
      </c>
    </row>
    <row r="852" spans="3:17" x14ac:dyDescent="0.25">
      <c r="C852" s="159"/>
      <c r="D852" s="165" t="s">
        <v>878</v>
      </c>
      <c r="E852" s="161">
        <v>43053</v>
      </c>
      <c r="F852" s="172" t="str">
        <f t="shared" si="39"/>
        <v>2017-18</v>
      </c>
      <c r="G852" s="68"/>
      <c r="H852" s="167" t="s">
        <v>279</v>
      </c>
      <c r="I852" s="173">
        <v>89592.114709699614</v>
      </c>
      <c r="J852" s="168">
        <f>IFERROR(MIN('MP Calculations'!$E$30/I852,1),"-")</f>
        <v>0.31014580161562261</v>
      </c>
      <c r="K852" s="12"/>
      <c r="L852" s="159">
        <v>1</v>
      </c>
      <c r="M852" s="159" t="s">
        <v>409</v>
      </c>
      <c r="N852" s="159">
        <v>29118.29</v>
      </c>
      <c r="O852" s="185">
        <f t="shared" si="40"/>
        <v>29118.29</v>
      </c>
      <c r="P852" s="215">
        <f t="shared" si="41"/>
        <v>9030.9153937261672</v>
      </c>
      <c r="Q852" s="215" cm="1">
        <f t="array" ref="Q852">IF(P852="-",0,P852/(1+'General inputs'!$H$32)^IFERROR(INDEX('MP Calculations'!$C$40:$C$130,MATCH(F852,'MP Calculations'!$D$40:$D$130,0),0),-1))</f>
        <v>11093.545486128893</v>
      </c>
    </row>
    <row r="853" spans="3:17" x14ac:dyDescent="0.25">
      <c r="C853" s="159"/>
      <c r="D853" s="165" t="s">
        <v>879</v>
      </c>
      <c r="E853" s="161">
        <v>43054</v>
      </c>
      <c r="F853" s="172" t="str">
        <f t="shared" si="39"/>
        <v>2017-18</v>
      </c>
      <c r="G853" s="68"/>
      <c r="H853" s="167" t="s">
        <v>279</v>
      </c>
      <c r="I853" s="173">
        <v>89592.114709699614</v>
      </c>
      <c r="J853" s="168">
        <f>IFERROR(MIN('MP Calculations'!$E$30/I853,1),"-")</f>
        <v>0.31014580161562261</v>
      </c>
      <c r="K853" s="12"/>
      <c r="L853" s="159">
        <v>1</v>
      </c>
      <c r="M853" s="159" t="s">
        <v>409</v>
      </c>
      <c r="N853" s="159">
        <v>21633.69</v>
      </c>
      <c r="O853" s="185">
        <f t="shared" si="40"/>
        <v>21633.69</v>
      </c>
      <c r="P853" s="215">
        <f t="shared" si="41"/>
        <v>6709.5981269538779</v>
      </c>
      <c r="Q853" s="215" cm="1">
        <f t="array" ref="Q853">IF(P853="-",0,P853/(1+'General inputs'!$H$32)^IFERROR(INDEX('MP Calculations'!$C$40:$C$130,MATCH(F853,'MP Calculations'!$D$40:$D$130,0),0),-1))</f>
        <v>8242.0473196678704</v>
      </c>
    </row>
    <row r="854" spans="3:17" x14ac:dyDescent="0.25">
      <c r="C854" s="159"/>
      <c r="D854" s="165" t="s">
        <v>880</v>
      </c>
      <c r="E854" s="161">
        <v>43069</v>
      </c>
      <c r="F854" s="172" t="str">
        <f t="shared" ref="F854:F917" si="42">IF(E854="","-",IF(OR(E854&lt;$E$15,E854&gt;$E$16),"ERROR - date outside of range",IF(MONTH(E854)&gt;=7,YEAR(E854)&amp;"-"&amp;IF(YEAR(E854)=1999,"00",IF(AND(YEAR(E854)&gt;=2000,YEAR(E854)&lt;2009),"0","")&amp;RIGHT(YEAR(E854),2)+1),RIGHT(YEAR(E854),4)-1&amp;"-"&amp;RIGHT(YEAR(E854),2))))</f>
        <v>2017-18</v>
      </c>
      <c r="G854" s="68"/>
      <c r="H854" s="167" t="s">
        <v>279</v>
      </c>
      <c r="I854" s="173">
        <v>89592.114709699614</v>
      </c>
      <c r="J854" s="168">
        <f>IFERROR(MIN('MP Calculations'!$E$30/I854,1),"-")</f>
        <v>0.31014580161562261</v>
      </c>
      <c r="K854" s="12"/>
      <c r="L854" s="159">
        <v>1</v>
      </c>
      <c r="M854" s="159" t="s">
        <v>409</v>
      </c>
      <c r="N854" s="159">
        <v>1922.78</v>
      </c>
      <c r="O854" s="185">
        <f t="shared" ref="O854:O917" si="43">IF(N854="","-",L854*N854)</f>
        <v>1922.78</v>
      </c>
      <c r="P854" s="215">
        <f t="shared" ref="P854:P917" si="44">IF(O854="-","-",IF(OR(E854&lt;$E$15,E854&gt;$E$16),0,O854*J854))</f>
        <v>596.34214443048688</v>
      </c>
      <c r="Q854" s="215" cm="1">
        <f t="array" ref="Q854">IF(P854="-",0,P854/(1+'General inputs'!$H$32)^IFERROR(INDEX('MP Calculations'!$C$40:$C$130,MATCH(F854,'MP Calculations'!$D$40:$D$130,0),0),-1))</f>
        <v>732.54464427062567</v>
      </c>
    </row>
    <row r="855" spans="3:17" x14ac:dyDescent="0.25">
      <c r="C855" s="159"/>
      <c r="D855" s="165" t="s">
        <v>881</v>
      </c>
      <c r="E855" s="161">
        <v>43069</v>
      </c>
      <c r="F855" s="172" t="str">
        <f t="shared" si="42"/>
        <v>2017-18</v>
      </c>
      <c r="G855" s="68"/>
      <c r="H855" s="167" t="s">
        <v>279</v>
      </c>
      <c r="I855" s="173">
        <v>89592.114709699614</v>
      </c>
      <c r="J855" s="168">
        <f>IFERROR(MIN('MP Calculations'!$E$30/I855,1),"-")</f>
        <v>0.31014580161562261</v>
      </c>
      <c r="K855" s="12"/>
      <c r="L855" s="159">
        <v>1</v>
      </c>
      <c r="M855" s="159" t="s">
        <v>409</v>
      </c>
      <c r="N855" s="159">
        <v>1984.6</v>
      </c>
      <c r="O855" s="185">
        <f t="shared" si="43"/>
        <v>1984.6</v>
      </c>
      <c r="P855" s="215">
        <f t="shared" si="44"/>
        <v>615.51535788636465</v>
      </c>
      <c r="Q855" s="215" cm="1">
        <f t="array" ref="Q855">IF(P855="-",0,P855/(1+'General inputs'!$H$32)^IFERROR(INDEX('MP Calculations'!$C$40:$C$130,MATCH(F855,'MP Calculations'!$D$40:$D$130,0),0),-1))</f>
        <v>756.09695389981357</v>
      </c>
    </row>
    <row r="856" spans="3:17" x14ac:dyDescent="0.25">
      <c r="C856" s="159"/>
      <c r="D856" s="165" t="s">
        <v>882</v>
      </c>
      <c r="E856" s="161">
        <v>43084</v>
      </c>
      <c r="F856" s="172" t="str">
        <f t="shared" si="42"/>
        <v>2017-18</v>
      </c>
      <c r="G856" s="68"/>
      <c r="H856" s="167" t="s">
        <v>279</v>
      </c>
      <c r="I856" s="173">
        <v>89592.114709699614</v>
      </c>
      <c r="J856" s="168">
        <f>IFERROR(MIN('MP Calculations'!$E$30/I856,1),"-")</f>
        <v>0.31014580161562261</v>
      </c>
      <c r="K856" s="12"/>
      <c r="L856" s="159">
        <v>1</v>
      </c>
      <c r="M856" s="159" t="s">
        <v>409</v>
      </c>
      <c r="N856" s="159">
        <v>21394.52</v>
      </c>
      <c r="O856" s="185">
        <f t="shared" si="43"/>
        <v>21394.52</v>
      </c>
      <c r="P856" s="215">
        <f t="shared" si="44"/>
        <v>6635.4205555814706</v>
      </c>
      <c r="Q856" s="215" cm="1">
        <f t="array" ref="Q856">IF(P856="-",0,P856/(1+'General inputs'!$H$32)^IFERROR(INDEX('MP Calculations'!$C$40:$C$130,MATCH(F856,'MP Calculations'!$D$40:$D$130,0),0),-1))</f>
        <v>8150.9278454845517</v>
      </c>
    </row>
    <row r="857" spans="3:17" x14ac:dyDescent="0.25">
      <c r="C857" s="159"/>
      <c r="D857" s="165" t="s">
        <v>724</v>
      </c>
      <c r="E857" s="161">
        <v>43132</v>
      </c>
      <c r="F857" s="172" t="str">
        <f t="shared" si="42"/>
        <v>2017-18</v>
      </c>
      <c r="G857" s="68"/>
      <c r="H857" s="167" t="s">
        <v>279</v>
      </c>
      <c r="I857" s="173">
        <v>89592.114709699614</v>
      </c>
      <c r="J857" s="168">
        <f>IFERROR(MIN('MP Calculations'!$E$30/I857,1),"-")</f>
        <v>0.31014580161562261</v>
      </c>
      <c r="K857" s="12"/>
      <c r="L857" s="159">
        <v>1</v>
      </c>
      <c r="M857" s="159" t="s">
        <v>409</v>
      </c>
      <c r="N857" s="159">
        <v>109294.33</v>
      </c>
      <c r="O857" s="185">
        <f t="shared" si="43"/>
        <v>109294.33</v>
      </c>
      <c r="P857" s="215">
        <f t="shared" si="44"/>
        <v>33897.177589892388</v>
      </c>
      <c r="Q857" s="215" cm="1">
        <f t="array" ref="Q857">IF(P857="-",0,P857/(1+'General inputs'!$H$32)^IFERROR(INDEX('MP Calculations'!$C$40:$C$130,MATCH(F857,'MP Calculations'!$D$40:$D$130,0),0),-1))</f>
        <v>41639.176656011798</v>
      </c>
    </row>
    <row r="858" spans="3:17" x14ac:dyDescent="0.25">
      <c r="C858" s="159"/>
      <c r="D858" s="165" t="s">
        <v>883</v>
      </c>
      <c r="E858" s="161">
        <v>43171</v>
      </c>
      <c r="F858" s="172" t="str">
        <f t="shared" si="42"/>
        <v>2017-18</v>
      </c>
      <c r="G858" s="68"/>
      <c r="H858" s="167" t="s">
        <v>279</v>
      </c>
      <c r="I858" s="173">
        <v>89592.114709699614</v>
      </c>
      <c r="J858" s="168">
        <f>IFERROR(MIN('MP Calculations'!$E$30/I858,1),"-")</f>
        <v>0.31014580161562261</v>
      </c>
      <c r="K858" s="12"/>
      <c r="L858" s="159">
        <v>1</v>
      </c>
      <c r="M858" s="159" t="s">
        <v>409</v>
      </c>
      <c r="N858" s="159">
        <v>26396.7</v>
      </c>
      <c r="O858" s="185">
        <f t="shared" si="43"/>
        <v>26396.7</v>
      </c>
      <c r="P858" s="215">
        <f t="shared" si="44"/>
        <v>8186.8256815071054</v>
      </c>
      <c r="Q858" s="215" cm="1">
        <f t="array" ref="Q858">IF(P858="-",0,P858/(1+'General inputs'!$H$32)^IFERROR(INDEX('MP Calculations'!$C$40:$C$130,MATCH(F858,'MP Calculations'!$D$40:$D$130,0),0),-1))</f>
        <v>10056.668579566265</v>
      </c>
    </row>
    <row r="859" spans="3:17" x14ac:dyDescent="0.25">
      <c r="C859" s="159"/>
      <c r="D859" s="165" t="s">
        <v>884</v>
      </c>
      <c r="E859" s="161">
        <v>43179</v>
      </c>
      <c r="F859" s="172" t="str">
        <f t="shared" si="42"/>
        <v>2017-18</v>
      </c>
      <c r="G859" s="68"/>
      <c r="H859" s="167" t="s">
        <v>279</v>
      </c>
      <c r="I859" s="173">
        <v>89592.114709699614</v>
      </c>
      <c r="J859" s="168">
        <f>IFERROR(MIN('MP Calculations'!$E$30/I859,1),"-")</f>
        <v>0.31014580161562261</v>
      </c>
      <c r="K859" s="12"/>
      <c r="L859" s="159">
        <v>1</v>
      </c>
      <c r="M859" s="159" t="s">
        <v>409</v>
      </c>
      <c r="N859" s="159">
        <v>8309.98</v>
      </c>
      <c r="O859" s="185">
        <f t="shared" si="43"/>
        <v>8309.98</v>
      </c>
      <c r="P859" s="215">
        <f t="shared" si="44"/>
        <v>2577.3054085097915</v>
      </c>
      <c r="Q859" s="215" cm="1">
        <f t="array" ref="Q859">IF(P859="-",0,P859/(1+'General inputs'!$H$32)^IFERROR(INDEX('MP Calculations'!$C$40:$C$130,MATCH(F859,'MP Calculations'!$D$40:$D$130,0),0),-1))</f>
        <v>3165.9531215198895</v>
      </c>
    </row>
    <row r="860" spans="3:17" x14ac:dyDescent="0.25">
      <c r="C860" s="159"/>
      <c r="D860" s="165" t="s">
        <v>885</v>
      </c>
      <c r="E860" s="161">
        <v>43200</v>
      </c>
      <c r="F860" s="172" t="str">
        <f t="shared" si="42"/>
        <v>2017-18</v>
      </c>
      <c r="G860" s="68"/>
      <c r="H860" s="167" t="s">
        <v>279</v>
      </c>
      <c r="I860" s="173">
        <v>89592.114709699614</v>
      </c>
      <c r="J860" s="168">
        <f>IFERROR(MIN('MP Calculations'!$E$30/I860,1),"-")</f>
        <v>0.31014580161562261</v>
      </c>
      <c r="K860" s="12"/>
      <c r="L860" s="159">
        <v>1</v>
      </c>
      <c r="M860" s="159" t="s">
        <v>409</v>
      </c>
      <c r="N860" s="159">
        <v>22679.48</v>
      </c>
      <c r="O860" s="185">
        <f t="shared" si="43"/>
        <v>22679.48</v>
      </c>
      <c r="P860" s="215">
        <f t="shared" si="44"/>
        <v>7033.9455048254804</v>
      </c>
      <c r="Q860" s="215" cm="1">
        <f t="array" ref="Q860">IF(P860="-",0,P860/(1+'General inputs'!$H$32)^IFERROR(INDEX('MP Calculations'!$C$40:$C$130,MATCH(F860,'MP Calculations'!$D$40:$D$130,0),0),-1))</f>
        <v>8640.4745258650328</v>
      </c>
    </row>
    <row r="861" spans="3:17" x14ac:dyDescent="0.25">
      <c r="C861" s="159"/>
      <c r="D861" s="165" t="s">
        <v>886</v>
      </c>
      <c r="E861" s="161">
        <v>43206</v>
      </c>
      <c r="F861" s="172" t="str">
        <f t="shared" si="42"/>
        <v>2017-18</v>
      </c>
      <c r="G861" s="68"/>
      <c r="H861" s="167" t="s">
        <v>279</v>
      </c>
      <c r="I861" s="173">
        <v>89592.114709699614</v>
      </c>
      <c r="J861" s="168">
        <f>IFERROR(MIN('MP Calculations'!$E$30/I861,1),"-")</f>
        <v>0.31014580161562261</v>
      </c>
      <c r="K861" s="12"/>
      <c r="L861" s="159">
        <v>1</v>
      </c>
      <c r="M861" s="159" t="s">
        <v>409</v>
      </c>
      <c r="N861" s="159">
        <v>85051.9</v>
      </c>
      <c r="O861" s="185">
        <f t="shared" si="43"/>
        <v>85051.9</v>
      </c>
      <c r="P861" s="215">
        <f t="shared" si="44"/>
        <v>26378.489704431769</v>
      </c>
      <c r="Q861" s="215" cm="1">
        <f t="array" ref="Q861">IF(P861="-",0,P861/(1+'General inputs'!$H$32)^IFERROR(INDEX('MP Calculations'!$C$40:$C$130,MATCH(F861,'MP Calculations'!$D$40:$D$130,0),0),-1))</f>
        <v>32403.246252842662</v>
      </c>
    </row>
    <row r="862" spans="3:17" x14ac:dyDescent="0.25">
      <c r="C862" s="159"/>
      <c r="D862" s="165" t="s">
        <v>887</v>
      </c>
      <c r="E862" s="161">
        <v>43250</v>
      </c>
      <c r="F862" s="172" t="str">
        <f t="shared" si="42"/>
        <v>2017-18</v>
      </c>
      <c r="G862" s="68"/>
      <c r="H862" s="167" t="s">
        <v>279</v>
      </c>
      <c r="I862" s="173">
        <v>89592.114709699614</v>
      </c>
      <c r="J862" s="168">
        <f>IFERROR(MIN('MP Calculations'!$E$30/I862,1),"-")</f>
        <v>0.31014580161562261</v>
      </c>
      <c r="K862" s="12"/>
      <c r="L862" s="159">
        <v>1</v>
      </c>
      <c r="M862" s="159" t="s">
        <v>409</v>
      </c>
      <c r="N862" s="159">
        <v>33824.18</v>
      </c>
      <c r="O862" s="185">
        <f t="shared" si="43"/>
        <v>33824.18</v>
      </c>
      <c r="P862" s="215">
        <f t="shared" si="44"/>
        <v>10490.42742009111</v>
      </c>
      <c r="Q862" s="215" cm="1">
        <f t="array" ref="Q862">IF(P862="-",0,P862/(1+'General inputs'!$H$32)^IFERROR(INDEX('MP Calculations'!$C$40:$C$130,MATCH(F862,'MP Calculations'!$D$40:$D$130,0),0),-1))</f>
        <v>12886.405051979742</v>
      </c>
    </row>
    <row r="863" spans="3:17" x14ac:dyDescent="0.25">
      <c r="C863" s="159"/>
      <c r="D863" s="165" t="s">
        <v>888</v>
      </c>
      <c r="E863" s="161">
        <v>43266</v>
      </c>
      <c r="F863" s="172" t="str">
        <f t="shared" si="42"/>
        <v>2017-18</v>
      </c>
      <c r="G863" s="68"/>
      <c r="H863" s="167" t="s">
        <v>279</v>
      </c>
      <c r="I863" s="173">
        <v>89592.114709699614</v>
      </c>
      <c r="J863" s="168">
        <f>IFERROR(MIN('MP Calculations'!$E$30/I863,1),"-")</f>
        <v>0.31014580161562261</v>
      </c>
      <c r="K863" s="12"/>
      <c r="L863" s="159">
        <v>1</v>
      </c>
      <c r="M863" s="159" t="s">
        <v>409</v>
      </c>
      <c r="N863" s="159">
        <v>107991.05</v>
      </c>
      <c r="O863" s="185">
        <f t="shared" si="43"/>
        <v>107991.05</v>
      </c>
      <c r="P863" s="215">
        <f t="shared" si="44"/>
        <v>33492.97076956278</v>
      </c>
      <c r="Q863" s="215" cm="1">
        <f t="array" ref="Q863">IF(P863="-",0,P863/(1+'General inputs'!$H$32)^IFERROR(INDEX('MP Calculations'!$C$40:$C$130,MATCH(F863,'MP Calculations'!$D$40:$D$130,0),0),-1))</f>
        <v>41142.650384683293</v>
      </c>
    </row>
    <row r="864" spans="3:17" x14ac:dyDescent="0.25">
      <c r="C864" s="159"/>
      <c r="D864" s="165" t="s">
        <v>889</v>
      </c>
      <c r="E864" s="161">
        <v>43276</v>
      </c>
      <c r="F864" s="172" t="str">
        <f t="shared" si="42"/>
        <v>2017-18</v>
      </c>
      <c r="G864" s="68"/>
      <c r="H864" s="167" t="s">
        <v>279</v>
      </c>
      <c r="I864" s="173">
        <v>89592.114709699614</v>
      </c>
      <c r="J864" s="168">
        <f>IFERROR(MIN('MP Calculations'!$E$30/I864,1),"-")</f>
        <v>0.31014580161562261</v>
      </c>
      <c r="K864" s="12"/>
      <c r="L864" s="159">
        <v>1</v>
      </c>
      <c r="M864" s="159" t="s">
        <v>409</v>
      </c>
      <c r="N864" s="159">
        <v>3738.29</v>
      </c>
      <c r="O864" s="185">
        <f t="shared" si="43"/>
        <v>3738.29</v>
      </c>
      <c r="P864" s="215">
        <f t="shared" si="44"/>
        <v>1159.4149487216657</v>
      </c>
      <c r="Q864" s="215" cm="1">
        <f t="array" ref="Q864">IF(P864="-",0,P864/(1+'General inputs'!$H$32)^IFERROR(INDEX('MP Calculations'!$C$40:$C$130,MATCH(F864,'MP Calculations'!$D$40:$D$130,0),0),-1))</f>
        <v>1424.2213452555345</v>
      </c>
    </row>
    <row r="865" spans="3:17" x14ac:dyDescent="0.25">
      <c r="C865" s="159"/>
      <c r="D865" s="165" t="s">
        <v>890</v>
      </c>
      <c r="E865" s="161">
        <v>43276</v>
      </c>
      <c r="F865" s="172" t="str">
        <f t="shared" si="42"/>
        <v>2017-18</v>
      </c>
      <c r="G865" s="68"/>
      <c r="H865" s="167" t="s">
        <v>279</v>
      </c>
      <c r="I865" s="173">
        <v>89592.114709699614</v>
      </c>
      <c r="J865" s="168">
        <f>IFERROR(MIN('MP Calculations'!$E$30/I865,1),"-")</f>
        <v>0.31014580161562261</v>
      </c>
      <c r="K865" s="12"/>
      <c r="L865" s="159">
        <v>1</v>
      </c>
      <c r="M865" s="159" t="s">
        <v>409</v>
      </c>
      <c r="N865" s="159">
        <v>3574.64</v>
      </c>
      <c r="O865" s="185">
        <f t="shared" si="43"/>
        <v>3574.64</v>
      </c>
      <c r="P865" s="215">
        <f t="shared" si="44"/>
        <v>1108.6595882872691</v>
      </c>
      <c r="Q865" s="215" cm="1">
        <f t="array" ref="Q865">IF(P865="-",0,P865/(1+'General inputs'!$H$32)^IFERROR(INDEX('MP Calculations'!$C$40:$C$130,MATCH(F865,'MP Calculations'!$D$40:$D$130,0),0),-1))</f>
        <v>1361.8736346308724</v>
      </c>
    </row>
    <row r="866" spans="3:17" x14ac:dyDescent="0.25">
      <c r="C866" s="159"/>
      <c r="D866" s="165" t="s">
        <v>891</v>
      </c>
      <c r="E866" s="161">
        <v>43276</v>
      </c>
      <c r="F866" s="172" t="str">
        <f t="shared" si="42"/>
        <v>2017-18</v>
      </c>
      <c r="G866" s="68"/>
      <c r="H866" s="167" t="s">
        <v>279</v>
      </c>
      <c r="I866" s="173">
        <v>89592.114709699614</v>
      </c>
      <c r="J866" s="168">
        <f>IFERROR(MIN('MP Calculations'!$E$30/I866,1),"-")</f>
        <v>0.31014580161562261</v>
      </c>
      <c r="K866" s="12"/>
      <c r="L866" s="159">
        <v>1</v>
      </c>
      <c r="M866" s="159" t="s">
        <v>409</v>
      </c>
      <c r="N866" s="159">
        <v>3574.64</v>
      </c>
      <c r="O866" s="185">
        <f t="shared" si="43"/>
        <v>3574.64</v>
      </c>
      <c r="P866" s="215">
        <f t="shared" si="44"/>
        <v>1108.6595882872691</v>
      </c>
      <c r="Q866" s="215" cm="1">
        <f t="array" ref="Q866">IF(P866="-",0,P866/(1+'General inputs'!$H$32)^IFERROR(INDEX('MP Calculations'!$C$40:$C$130,MATCH(F866,'MP Calculations'!$D$40:$D$130,0),0),-1))</f>
        <v>1361.8736346308724</v>
      </c>
    </row>
    <row r="867" spans="3:17" x14ac:dyDescent="0.25">
      <c r="C867" s="159"/>
      <c r="D867" s="165" t="s">
        <v>892</v>
      </c>
      <c r="E867" s="161">
        <v>43276</v>
      </c>
      <c r="F867" s="172" t="str">
        <f t="shared" si="42"/>
        <v>2017-18</v>
      </c>
      <c r="G867" s="68"/>
      <c r="H867" s="167" t="s">
        <v>279</v>
      </c>
      <c r="I867" s="173">
        <v>89592.114709699614</v>
      </c>
      <c r="J867" s="168">
        <f>IFERROR(MIN('MP Calculations'!$E$30/I867,1),"-")</f>
        <v>0.31014580161562261</v>
      </c>
      <c r="K867" s="12"/>
      <c r="L867" s="159">
        <v>1</v>
      </c>
      <c r="M867" s="159" t="s">
        <v>409</v>
      </c>
      <c r="N867" s="159">
        <v>3574.64</v>
      </c>
      <c r="O867" s="185">
        <f t="shared" si="43"/>
        <v>3574.64</v>
      </c>
      <c r="P867" s="215">
        <f t="shared" si="44"/>
        <v>1108.6595882872691</v>
      </c>
      <c r="Q867" s="215" cm="1">
        <f t="array" ref="Q867">IF(P867="-",0,P867/(1+'General inputs'!$H$32)^IFERROR(INDEX('MP Calculations'!$C$40:$C$130,MATCH(F867,'MP Calculations'!$D$40:$D$130,0),0),-1))</f>
        <v>1361.8736346308724</v>
      </c>
    </row>
    <row r="868" spans="3:17" x14ac:dyDescent="0.25">
      <c r="C868" s="159"/>
      <c r="D868" s="165" t="s">
        <v>893</v>
      </c>
      <c r="E868" s="161">
        <v>43276</v>
      </c>
      <c r="F868" s="172" t="str">
        <f t="shared" si="42"/>
        <v>2017-18</v>
      </c>
      <c r="G868" s="68"/>
      <c r="H868" s="167" t="s">
        <v>279</v>
      </c>
      <c r="I868" s="173">
        <v>89592.114709699614</v>
      </c>
      <c r="J868" s="168">
        <f>IFERROR(MIN('MP Calculations'!$E$30/I868,1),"-")</f>
        <v>0.31014580161562261</v>
      </c>
      <c r="K868" s="12"/>
      <c r="L868" s="159">
        <v>1</v>
      </c>
      <c r="M868" s="159" t="s">
        <v>409</v>
      </c>
      <c r="N868" s="159">
        <v>42390.42</v>
      </c>
      <c r="O868" s="185">
        <f t="shared" si="43"/>
        <v>42390.42</v>
      </c>
      <c r="P868" s="215">
        <f t="shared" si="44"/>
        <v>13147.21079172292</v>
      </c>
      <c r="Q868" s="215" cm="1">
        <f t="array" ref="Q868">IF(P868="-",0,P868/(1+'General inputs'!$H$32)^IFERROR(INDEX('MP Calculations'!$C$40:$C$130,MATCH(F868,'MP Calculations'!$D$40:$D$130,0),0),-1))</f>
        <v>16149.988630723437</v>
      </c>
    </row>
    <row r="869" spans="3:17" x14ac:dyDescent="0.25">
      <c r="C869" s="159"/>
      <c r="D869" s="165" t="s">
        <v>894</v>
      </c>
      <c r="E869" s="161">
        <v>43276</v>
      </c>
      <c r="F869" s="172" t="str">
        <f t="shared" si="42"/>
        <v>2017-18</v>
      </c>
      <c r="G869" s="68"/>
      <c r="H869" s="167" t="s">
        <v>279</v>
      </c>
      <c r="I869" s="173">
        <v>89592.114709699614</v>
      </c>
      <c r="J869" s="168">
        <f>IFERROR(MIN('MP Calculations'!$E$30/I869,1),"-")</f>
        <v>0.31014580161562261</v>
      </c>
      <c r="K869" s="12"/>
      <c r="L869" s="159">
        <v>1</v>
      </c>
      <c r="M869" s="159" t="s">
        <v>409</v>
      </c>
      <c r="N869" s="159">
        <v>3574.64</v>
      </c>
      <c r="O869" s="185">
        <f t="shared" si="43"/>
        <v>3574.64</v>
      </c>
      <c r="P869" s="215">
        <f t="shared" si="44"/>
        <v>1108.6595882872691</v>
      </c>
      <c r="Q869" s="215" cm="1">
        <f t="array" ref="Q869">IF(P869="-",0,P869/(1+'General inputs'!$H$32)^IFERROR(INDEX('MP Calculations'!$C$40:$C$130,MATCH(F869,'MP Calculations'!$D$40:$D$130,0),0),-1))</f>
        <v>1361.8736346308724</v>
      </c>
    </row>
    <row r="870" spans="3:17" x14ac:dyDescent="0.25">
      <c r="C870" s="159"/>
      <c r="D870" s="165" t="s">
        <v>895</v>
      </c>
      <c r="E870" s="161">
        <v>43276</v>
      </c>
      <c r="F870" s="172" t="str">
        <f t="shared" si="42"/>
        <v>2017-18</v>
      </c>
      <c r="G870" s="68"/>
      <c r="H870" s="167" t="s">
        <v>279</v>
      </c>
      <c r="I870" s="173">
        <v>89592.114709699614</v>
      </c>
      <c r="J870" s="168">
        <f>IFERROR(MIN('MP Calculations'!$E$30/I870,1),"-")</f>
        <v>0.31014580161562261</v>
      </c>
      <c r="K870" s="12"/>
      <c r="L870" s="159">
        <v>1</v>
      </c>
      <c r="M870" s="159" t="s">
        <v>409</v>
      </c>
      <c r="N870" s="159">
        <v>3574.64</v>
      </c>
      <c r="O870" s="185">
        <f t="shared" si="43"/>
        <v>3574.64</v>
      </c>
      <c r="P870" s="215">
        <f t="shared" si="44"/>
        <v>1108.6595882872691</v>
      </c>
      <c r="Q870" s="215" cm="1">
        <f t="array" ref="Q870">IF(P870="-",0,P870/(1+'General inputs'!$H$32)^IFERROR(INDEX('MP Calculations'!$C$40:$C$130,MATCH(F870,'MP Calculations'!$D$40:$D$130,0),0),-1))</f>
        <v>1361.8736346308724</v>
      </c>
    </row>
    <row r="871" spans="3:17" x14ac:dyDescent="0.25">
      <c r="C871" s="159"/>
      <c r="D871" s="165" t="s">
        <v>896</v>
      </c>
      <c r="E871" s="161">
        <v>43276</v>
      </c>
      <c r="F871" s="172" t="str">
        <f t="shared" si="42"/>
        <v>2017-18</v>
      </c>
      <c r="G871" s="68"/>
      <c r="H871" s="167" t="s">
        <v>279</v>
      </c>
      <c r="I871" s="173">
        <v>89592.114709699614</v>
      </c>
      <c r="J871" s="168">
        <f>IFERROR(MIN('MP Calculations'!$E$30/I871,1),"-")</f>
        <v>0.31014580161562261</v>
      </c>
      <c r="K871" s="12"/>
      <c r="L871" s="159">
        <v>1</v>
      </c>
      <c r="M871" s="159" t="s">
        <v>409</v>
      </c>
      <c r="N871" s="159">
        <v>3574.64</v>
      </c>
      <c r="O871" s="185">
        <f t="shared" si="43"/>
        <v>3574.64</v>
      </c>
      <c r="P871" s="215">
        <f t="shared" si="44"/>
        <v>1108.6595882872691</v>
      </c>
      <c r="Q871" s="215" cm="1">
        <f t="array" ref="Q871">IF(P871="-",0,P871/(1+'General inputs'!$H$32)^IFERROR(INDEX('MP Calculations'!$C$40:$C$130,MATCH(F871,'MP Calculations'!$D$40:$D$130,0),0),-1))</f>
        <v>1361.8736346308724</v>
      </c>
    </row>
    <row r="872" spans="3:17" x14ac:dyDescent="0.25">
      <c r="C872" s="159"/>
      <c r="D872" s="165" t="s">
        <v>897</v>
      </c>
      <c r="E872" s="161">
        <v>43276</v>
      </c>
      <c r="F872" s="172" t="str">
        <f t="shared" si="42"/>
        <v>2017-18</v>
      </c>
      <c r="G872" s="68"/>
      <c r="H872" s="167" t="s">
        <v>279</v>
      </c>
      <c r="I872" s="173">
        <v>89592.114709699614</v>
      </c>
      <c r="J872" s="168">
        <f>IFERROR(MIN('MP Calculations'!$E$30/I872,1),"-")</f>
        <v>0.31014580161562261</v>
      </c>
      <c r="K872" s="12"/>
      <c r="L872" s="159">
        <v>1</v>
      </c>
      <c r="M872" s="159" t="s">
        <v>409</v>
      </c>
      <c r="N872" s="159">
        <v>3574.64</v>
      </c>
      <c r="O872" s="185">
        <f t="shared" si="43"/>
        <v>3574.64</v>
      </c>
      <c r="P872" s="215">
        <f t="shared" si="44"/>
        <v>1108.6595882872691</v>
      </c>
      <c r="Q872" s="215" cm="1">
        <f t="array" ref="Q872">IF(P872="-",0,P872/(1+'General inputs'!$H$32)^IFERROR(INDEX('MP Calculations'!$C$40:$C$130,MATCH(F872,'MP Calculations'!$D$40:$D$130,0),0),-1))</f>
        <v>1361.8736346308724</v>
      </c>
    </row>
    <row r="873" spans="3:17" x14ac:dyDescent="0.25">
      <c r="C873" s="159"/>
      <c r="D873" s="165" t="s">
        <v>898</v>
      </c>
      <c r="E873" s="161">
        <v>43276</v>
      </c>
      <c r="F873" s="172" t="str">
        <f t="shared" si="42"/>
        <v>2017-18</v>
      </c>
      <c r="G873" s="68"/>
      <c r="H873" s="167" t="s">
        <v>279</v>
      </c>
      <c r="I873" s="173">
        <v>89592.114709699614</v>
      </c>
      <c r="J873" s="168">
        <f>IFERROR(MIN('MP Calculations'!$E$30/I873,1),"-")</f>
        <v>0.31014580161562261</v>
      </c>
      <c r="K873" s="12"/>
      <c r="L873" s="159">
        <v>1</v>
      </c>
      <c r="M873" s="159" t="s">
        <v>409</v>
      </c>
      <c r="N873" s="159">
        <v>3574.64</v>
      </c>
      <c r="O873" s="185">
        <f t="shared" si="43"/>
        <v>3574.64</v>
      </c>
      <c r="P873" s="215">
        <f t="shared" si="44"/>
        <v>1108.6595882872691</v>
      </c>
      <c r="Q873" s="215" cm="1">
        <f t="array" ref="Q873">IF(P873="-",0,P873/(1+'General inputs'!$H$32)^IFERROR(INDEX('MP Calculations'!$C$40:$C$130,MATCH(F873,'MP Calculations'!$D$40:$D$130,0),0),-1))</f>
        <v>1361.8736346308724</v>
      </c>
    </row>
    <row r="874" spans="3:17" x14ac:dyDescent="0.25">
      <c r="C874" s="159"/>
      <c r="D874" s="165" t="s">
        <v>899</v>
      </c>
      <c r="E874" s="161">
        <v>43276</v>
      </c>
      <c r="F874" s="172" t="str">
        <f t="shared" si="42"/>
        <v>2017-18</v>
      </c>
      <c r="G874" s="68"/>
      <c r="H874" s="167" t="s">
        <v>279</v>
      </c>
      <c r="I874" s="173">
        <v>89592.114709699614</v>
      </c>
      <c r="J874" s="168">
        <f>IFERROR(MIN('MP Calculations'!$E$30/I874,1),"-")</f>
        <v>0.31014580161562261</v>
      </c>
      <c r="K874" s="12"/>
      <c r="L874" s="159">
        <v>1</v>
      </c>
      <c r="M874" s="159" t="s">
        <v>409</v>
      </c>
      <c r="N874" s="159">
        <v>3574.64</v>
      </c>
      <c r="O874" s="185">
        <f t="shared" si="43"/>
        <v>3574.64</v>
      </c>
      <c r="P874" s="215">
        <f t="shared" si="44"/>
        <v>1108.6595882872691</v>
      </c>
      <c r="Q874" s="215" cm="1">
        <f t="array" ref="Q874">IF(P874="-",0,P874/(1+'General inputs'!$H$32)^IFERROR(INDEX('MP Calculations'!$C$40:$C$130,MATCH(F874,'MP Calculations'!$D$40:$D$130,0),0),-1))</f>
        <v>1361.8736346308724</v>
      </c>
    </row>
    <row r="875" spans="3:17" x14ac:dyDescent="0.25">
      <c r="C875" s="159"/>
      <c r="D875" s="165" t="s">
        <v>900</v>
      </c>
      <c r="E875" s="161">
        <v>43276</v>
      </c>
      <c r="F875" s="172" t="str">
        <f t="shared" si="42"/>
        <v>2017-18</v>
      </c>
      <c r="G875" s="68"/>
      <c r="H875" s="167" t="s">
        <v>279</v>
      </c>
      <c r="I875" s="173">
        <v>89592.114709699614</v>
      </c>
      <c r="J875" s="168">
        <f>IFERROR(MIN('MP Calculations'!$E$30/I875,1),"-")</f>
        <v>0.31014580161562261</v>
      </c>
      <c r="K875" s="12"/>
      <c r="L875" s="159">
        <v>1</v>
      </c>
      <c r="M875" s="159" t="s">
        <v>409</v>
      </c>
      <c r="N875" s="159">
        <v>3574.64</v>
      </c>
      <c r="O875" s="185">
        <f t="shared" si="43"/>
        <v>3574.64</v>
      </c>
      <c r="P875" s="215">
        <f t="shared" si="44"/>
        <v>1108.6595882872691</v>
      </c>
      <c r="Q875" s="215" cm="1">
        <f t="array" ref="Q875">IF(P875="-",0,P875/(1+'General inputs'!$H$32)^IFERROR(INDEX('MP Calculations'!$C$40:$C$130,MATCH(F875,'MP Calculations'!$D$40:$D$130,0),0),-1))</f>
        <v>1361.8736346308724</v>
      </c>
    </row>
    <row r="876" spans="3:17" x14ac:dyDescent="0.25">
      <c r="C876" s="159"/>
      <c r="D876" s="165" t="s">
        <v>901</v>
      </c>
      <c r="E876" s="161">
        <v>43276</v>
      </c>
      <c r="F876" s="172" t="str">
        <f t="shared" si="42"/>
        <v>2017-18</v>
      </c>
      <c r="G876" s="68"/>
      <c r="H876" s="167" t="s">
        <v>279</v>
      </c>
      <c r="I876" s="173">
        <v>89592.114709699614</v>
      </c>
      <c r="J876" s="168">
        <f>IFERROR(MIN('MP Calculations'!$E$30/I876,1),"-")</f>
        <v>0.31014580161562261</v>
      </c>
      <c r="K876" s="12"/>
      <c r="L876" s="159">
        <v>1</v>
      </c>
      <c r="M876" s="159" t="s">
        <v>409</v>
      </c>
      <c r="N876" s="159">
        <v>3574.64</v>
      </c>
      <c r="O876" s="185">
        <f t="shared" si="43"/>
        <v>3574.64</v>
      </c>
      <c r="P876" s="215">
        <f t="shared" si="44"/>
        <v>1108.6595882872691</v>
      </c>
      <c r="Q876" s="215" cm="1">
        <f t="array" ref="Q876">IF(P876="-",0,P876/(1+'General inputs'!$H$32)^IFERROR(INDEX('MP Calculations'!$C$40:$C$130,MATCH(F876,'MP Calculations'!$D$40:$D$130,0),0),-1))</f>
        <v>1361.8736346308724</v>
      </c>
    </row>
    <row r="877" spans="3:17" x14ac:dyDescent="0.25">
      <c r="C877" s="159"/>
      <c r="D877" s="165" t="s">
        <v>902</v>
      </c>
      <c r="E877" s="161">
        <v>43276</v>
      </c>
      <c r="F877" s="172" t="str">
        <f t="shared" si="42"/>
        <v>2017-18</v>
      </c>
      <c r="G877" s="68"/>
      <c r="H877" s="167" t="s">
        <v>279</v>
      </c>
      <c r="I877" s="173">
        <v>89592.114709699614</v>
      </c>
      <c r="J877" s="168">
        <f>IFERROR(MIN('MP Calculations'!$E$30/I877,1),"-")</f>
        <v>0.31014580161562261</v>
      </c>
      <c r="K877" s="12"/>
      <c r="L877" s="159">
        <v>1</v>
      </c>
      <c r="M877" s="159" t="s">
        <v>409</v>
      </c>
      <c r="N877" s="159">
        <v>3574.64</v>
      </c>
      <c r="O877" s="185">
        <f t="shared" si="43"/>
        <v>3574.64</v>
      </c>
      <c r="P877" s="215">
        <f t="shared" si="44"/>
        <v>1108.6595882872691</v>
      </c>
      <c r="Q877" s="215" cm="1">
        <f t="array" ref="Q877">IF(P877="-",0,P877/(1+'General inputs'!$H$32)^IFERROR(INDEX('MP Calculations'!$C$40:$C$130,MATCH(F877,'MP Calculations'!$D$40:$D$130,0),0),-1))</f>
        <v>1361.8736346308724</v>
      </c>
    </row>
    <row r="878" spans="3:17" x14ac:dyDescent="0.25">
      <c r="C878" s="159"/>
      <c r="D878" s="165" t="s">
        <v>903</v>
      </c>
      <c r="E878" s="161">
        <v>43276</v>
      </c>
      <c r="F878" s="172" t="str">
        <f t="shared" si="42"/>
        <v>2017-18</v>
      </c>
      <c r="G878" s="68"/>
      <c r="H878" s="167" t="s">
        <v>279</v>
      </c>
      <c r="I878" s="173">
        <v>89592.114709699614</v>
      </c>
      <c r="J878" s="168">
        <f>IFERROR(MIN('MP Calculations'!$E$30/I878,1),"-")</f>
        <v>0.31014580161562261</v>
      </c>
      <c r="K878" s="12"/>
      <c r="L878" s="159">
        <v>1</v>
      </c>
      <c r="M878" s="159" t="s">
        <v>409</v>
      </c>
      <c r="N878" s="159">
        <v>3574.64</v>
      </c>
      <c r="O878" s="185">
        <f t="shared" si="43"/>
        <v>3574.64</v>
      </c>
      <c r="P878" s="215">
        <f t="shared" si="44"/>
        <v>1108.6595882872691</v>
      </c>
      <c r="Q878" s="215" cm="1">
        <f t="array" ref="Q878">IF(P878="-",0,P878/(1+'General inputs'!$H$32)^IFERROR(INDEX('MP Calculations'!$C$40:$C$130,MATCH(F878,'MP Calculations'!$D$40:$D$130,0),0),-1))</f>
        <v>1361.8736346308724</v>
      </c>
    </row>
    <row r="879" spans="3:17" x14ac:dyDescent="0.25">
      <c r="C879" s="159"/>
      <c r="D879" s="165" t="s">
        <v>904</v>
      </c>
      <c r="E879" s="161">
        <v>43276</v>
      </c>
      <c r="F879" s="172" t="str">
        <f t="shared" si="42"/>
        <v>2017-18</v>
      </c>
      <c r="G879" s="68"/>
      <c r="H879" s="167" t="s">
        <v>279</v>
      </c>
      <c r="I879" s="173">
        <v>89592.114709699614</v>
      </c>
      <c r="J879" s="168">
        <f>IFERROR(MIN('MP Calculations'!$E$30/I879,1),"-")</f>
        <v>0.31014580161562261</v>
      </c>
      <c r="K879" s="12"/>
      <c r="L879" s="159">
        <v>1</v>
      </c>
      <c r="M879" s="159" t="s">
        <v>409</v>
      </c>
      <c r="N879" s="159">
        <v>3574.64</v>
      </c>
      <c r="O879" s="185">
        <f t="shared" si="43"/>
        <v>3574.64</v>
      </c>
      <c r="P879" s="215">
        <f t="shared" si="44"/>
        <v>1108.6595882872691</v>
      </c>
      <c r="Q879" s="215" cm="1">
        <f t="array" ref="Q879">IF(P879="-",0,P879/(1+'General inputs'!$H$32)^IFERROR(INDEX('MP Calculations'!$C$40:$C$130,MATCH(F879,'MP Calculations'!$D$40:$D$130,0),0),-1))</f>
        <v>1361.8736346308724</v>
      </c>
    </row>
    <row r="880" spans="3:17" x14ac:dyDescent="0.25">
      <c r="C880" s="159"/>
      <c r="D880" s="165" t="s">
        <v>905</v>
      </c>
      <c r="E880" s="161">
        <v>43276</v>
      </c>
      <c r="F880" s="172" t="str">
        <f t="shared" si="42"/>
        <v>2017-18</v>
      </c>
      <c r="G880" s="68"/>
      <c r="H880" s="167" t="s">
        <v>279</v>
      </c>
      <c r="I880" s="173">
        <v>89592.114709699614</v>
      </c>
      <c r="J880" s="168">
        <f>IFERROR(MIN('MP Calculations'!$E$30/I880,1),"-")</f>
        <v>0.31014580161562261</v>
      </c>
      <c r="K880" s="12"/>
      <c r="L880" s="159">
        <v>1</v>
      </c>
      <c r="M880" s="159" t="s">
        <v>409</v>
      </c>
      <c r="N880" s="159">
        <v>3574.64</v>
      </c>
      <c r="O880" s="185">
        <f t="shared" si="43"/>
        <v>3574.64</v>
      </c>
      <c r="P880" s="215">
        <f t="shared" si="44"/>
        <v>1108.6595882872691</v>
      </c>
      <c r="Q880" s="215" cm="1">
        <f t="array" ref="Q880">IF(P880="-",0,P880/(1+'General inputs'!$H$32)^IFERROR(INDEX('MP Calculations'!$C$40:$C$130,MATCH(F880,'MP Calculations'!$D$40:$D$130,0),0),-1))</f>
        <v>1361.8736346308724</v>
      </c>
    </row>
    <row r="881" spans="3:17" x14ac:dyDescent="0.25">
      <c r="C881" s="159"/>
      <c r="D881" s="165" t="s">
        <v>906</v>
      </c>
      <c r="E881" s="161">
        <v>43276</v>
      </c>
      <c r="F881" s="172" t="str">
        <f t="shared" si="42"/>
        <v>2017-18</v>
      </c>
      <c r="G881" s="68"/>
      <c r="H881" s="167" t="s">
        <v>279</v>
      </c>
      <c r="I881" s="173">
        <v>89592.114709699614</v>
      </c>
      <c r="J881" s="168">
        <f>IFERROR(MIN('MP Calculations'!$E$30/I881,1),"-")</f>
        <v>0.31014580161562261</v>
      </c>
      <c r="K881" s="12"/>
      <c r="L881" s="159">
        <v>1</v>
      </c>
      <c r="M881" s="159" t="s">
        <v>409</v>
      </c>
      <c r="N881" s="159">
        <v>3574.64</v>
      </c>
      <c r="O881" s="185">
        <f t="shared" si="43"/>
        <v>3574.64</v>
      </c>
      <c r="P881" s="215">
        <f t="shared" si="44"/>
        <v>1108.6595882872691</v>
      </c>
      <c r="Q881" s="215" cm="1">
        <f t="array" ref="Q881">IF(P881="-",0,P881/(1+'General inputs'!$H$32)^IFERROR(INDEX('MP Calculations'!$C$40:$C$130,MATCH(F881,'MP Calculations'!$D$40:$D$130,0),0),-1))</f>
        <v>1361.8736346308724</v>
      </c>
    </row>
    <row r="882" spans="3:17" x14ac:dyDescent="0.25">
      <c r="C882" s="159"/>
      <c r="D882" s="165" t="s">
        <v>907</v>
      </c>
      <c r="E882" s="161">
        <v>43276</v>
      </c>
      <c r="F882" s="172" t="str">
        <f t="shared" si="42"/>
        <v>2017-18</v>
      </c>
      <c r="G882" s="68"/>
      <c r="H882" s="167" t="s">
        <v>279</v>
      </c>
      <c r="I882" s="173">
        <v>89592.114709699614</v>
      </c>
      <c r="J882" s="168">
        <f>IFERROR(MIN('MP Calculations'!$E$30/I882,1),"-")</f>
        <v>0.31014580161562261</v>
      </c>
      <c r="K882" s="12"/>
      <c r="L882" s="159">
        <v>1</v>
      </c>
      <c r="M882" s="159" t="s">
        <v>409</v>
      </c>
      <c r="N882" s="159">
        <v>3574.64</v>
      </c>
      <c r="O882" s="185">
        <f t="shared" si="43"/>
        <v>3574.64</v>
      </c>
      <c r="P882" s="215">
        <f t="shared" si="44"/>
        <v>1108.6595882872691</v>
      </c>
      <c r="Q882" s="215" cm="1">
        <f t="array" ref="Q882">IF(P882="-",0,P882/(1+'General inputs'!$H$32)^IFERROR(INDEX('MP Calculations'!$C$40:$C$130,MATCH(F882,'MP Calculations'!$D$40:$D$130,0),0),-1))</f>
        <v>1361.8736346308724</v>
      </c>
    </row>
    <row r="883" spans="3:17" x14ac:dyDescent="0.25">
      <c r="C883" s="159"/>
      <c r="D883" s="165" t="s">
        <v>908</v>
      </c>
      <c r="E883" s="161">
        <v>43276</v>
      </c>
      <c r="F883" s="172" t="str">
        <f t="shared" si="42"/>
        <v>2017-18</v>
      </c>
      <c r="G883" s="68"/>
      <c r="H883" s="167" t="s">
        <v>279</v>
      </c>
      <c r="I883" s="173">
        <v>89592.114709699614</v>
      </c>
      <c r="J883" s="168">
        <f>IFERROR(MIN('MP Calculations'!$E$30/I883,1),"-")</f>
        <v>0.31014580161562261</v>
      </c>
      <c r="K883" s="12"/>
      <c r="L883" s="159">
        <v>1</v>
      </c>
      <c r="M883" s="159" t="s">
        <v>409</v>
      </c>
      <c r="N883" s="159">
        <v>3574.64</v>
      </c>
      <c r="O883" s="185">
        <f t="shared" si="43"/>
        <v>3574.64</v>
      </c>
      <c r="P883" s="215">
        <f t="shared" si="44"/>
        <v>1108.6595882872691</v>
      </c>
      <c r="Q883" s="215" cm="1">
        <f t="array" ref="Q883">IF(P883="-",0,P883/(1+'General inputs'!$H$32)^IFERROR(INDEX('MP Calculations'!$C$40:$C$130,MATCH(F883,'MP Calculations'!$D$40:$D$130,0),0),-1))</f>
        <v>1361.8736346308724</v>
      </c>
    </row>
    <row r="884" spans="3:17" x14ac:dyDescent="0.25">
      <c r="C884" s="159"/>
      <c r="D884" s="165" t="s">
        <v>909</v>
      </c>
      <c r="E884" s="161">
        <v>43281</v>
      </c>
      <c r="F884" s="172" t="str">
        <f t="shared" si="42"/>
        <v>2017-18</v>
      </c>
      <c r="G884" s="68"/>
      <c r="H884" s="167" t="s">
        <v>279</v>
      </c>
      <c r="I884" s="173">
        <v>89592.114709699614</v>
      </c>
      <c r="J884" s="168">
        <f>IFERROR(MIN('MP Calculations'!$E$30/I884,1),"-")</f>
        <v>0.31014580161562261</v>
      </c>
      <c r="K884" s="12"/>
      <c r="L884" s="159">
        <v>1</v>
      </c>
      <c r="M884" s="159" t="s">
        <v>409</v>
      </c>
      <c r="N884" s="159">
        <v>12340.84</v>
      </c>
      <c r="O884" s="185">
        <f t="shared" si="43"/>
        <v>12340.84</v>
      </c>
      <c r="P884" s="215">
        <f t="shared" si="44"/>
        <v>3827.4597144101404</v>
      </c>
      <c r="Q884" s="215" cm="1">
        <f t="array" ref="Q884">IF(P884="-",0,P884/(1+'General inputs'!$H$32)^IFERROR(INDEX('MP Calculations'!$C$40:$C$130,MATCH(F884,'MP Calculations'!$D$40:$D$130,0),0),-1))</f>
        <v>4701.6383818225213</v>
      </c>
    </row>
    <row r="885" spans="3:17" x14ac:dyDescent="0.25">
      <c r="C885" s="159"/>
      <c r="D885" s="165" t="s">
        <v>910</v>
      </c>
      <c r="E885" s="161">
        <v>43281</v>
      </c>
      <c r="F885" s="172" t="str">
        <f t="shared" si="42"/>
        <v>2017-18</v>
      </c>
      <c r="G885" s="68"/>
      <c r="H885" s="167" t="s">
        <v>279</v>
      </c>
      <c r="I885" s="173">
        <v>89592.114709699614</v>
      </c>
      <c r="J885" s="168">
        <f>IFERROR(MIN('MP Calculations'!$E$30/I885,1),"-")</f>
        <v>0.31014580161562261</v>
      </c>
      <c r="K885" s="12"/>
      <c r="L885" s="159">
        <v>1</v>
      </c>
      <c r="M885" s="159" t="s">
        <v>409</v>
      </c>
      <c r="N885" s="159">
        <v>1225.8699999999999</v>
      </c>
      <c r="O885" s="185">
        <f t="shared" si="43"/>
        <v>1225.8699999999999</v>
      </c>
      <c r="P885" s="215">
        <f t="shared" si="44"/>
        <v>380.19843382654324</v>
      </c>
      <c r="Q885" s="215" cm="1">
        <f t="array" ref="Q885">IF(P885="-",0,P885/(1+'General inputs'!$H$32)^IFERROR(INDEX('MP Calculations'!$C$40:$C$130,MATCH(F885,'MP Calculations'!$D$40:$D$130,0),0),-1))</f>
        <v>467.03445171680158</v>
      </c>
    </row>
    <row r="886" spans="3:17" x14ac:dyDescent="0.25">
      <c r="C886" s="159"/>
      <c r="D886" s="165" t="s">
        <v>911</v>
      </c>
      <c r="E886" s="161">
        <v>43281</v>
      </c>
      <c r="F886" s="172" t="str">
        <f t="shared" si="42"/>
        <v>2017-18</v>
      </c>
      <c r="G886" s="68"/>
      <c r="H886" s="167" t="s">
        <v>279</v>
      </c>
      <c r="I886" s="173">
        <v>89592.114709699614</v>
      </c>
      <c r="J886" s="168">
        <f>IFERROR(MIN('MP Calculations'!$E$30/I886,1),"-")</f>
        <v>0.31014580161562261</v>
      </c>
      <c r="K886" s="12"/>
      <c r="L886" s="159">
        <v>1</v>
      </c>
      <c r="M886" s="159" t="s">
        <v>409</v>
      </c>
      <c r="N886" s="159">
        <v>1593.35</v>
      </c>
      <c r="O886" s="185">
        <f t="shared" si="43"/>
        <v>1593.35</v>
      </c>
      <c r="P886" s="215">
        <f t="shared" si="44"/>
        <v>494.17081300425224</v>
      </c>
      <c r="Q886" s="215" cm="1">
        <f t="array" ref="Q886">IF(P886="-",0,P886/(1+'General inputs'!$H$32)^IFERROR(INDEX('MP Calculations'!$C$40:$C$130,MATCH(F886,'MP Calculations'!$D$40:$D$130,0),0),-1))</f>
        <v>607.03773127898205</v>
      </c>
    </row>
    <row r="887" spans="3:17" x14ac:dyDescent="0.25">
      <c r="C887" s="159"/>
      <c r="D887" s="165" t="s">
        <v>912</v>
      </c>
      <c r="E887" s="161">
        <v>43304</v>
      </c>
      <c r="F887" s="172" t="str">
        <f t="shared" si="42"/>
        <v>2018-19</v>
      </c>
      <c r="G887" s="68"/>
      <c r="H887" s="167" t="s">
        <v>279</v>
      </c>
      <c r="I887" s="173">
        <v>89592.114709699614</v>
      </c>
      <c r="J887" s="168">
        <f>IFERROR(MIN('MP Calculations'!$E$30/I887,1),"-")</f>
        <v>0.31014580161562261</v>
      </c>
      <c r="K887" s="12"/>
      <c r="L887" s="159">
        <v>1</v>
      </c>
      <c r="M887" s="159" t="s">
        <v>409</v>
      </c>
      <c r="N887" s="159">
        <v>12901.97</v>
      </c>
      <c r="O887" s="185">
        <f t="shared" si="43"/>
        <v>12901.97</v>
      </c>
      <c r="P887" s="215">
        <f t="shared" si="44"/>
        <v>4001.4918280707143</v>
      </c>
      <c r="Q887" s="215" cm="1">
        <f t="array" ref="Q887">IF(P887="-",0,P887/(1+'General inputs'!$H$32)^IFERROR(INDEX('MP Calculations'!$C$40:$C$130,MATCH(F887,'MP Calculations'!$D$40:$D$130,0),0),-1))</f>
        <v>4717.2925462272442</v>
      </c>
    </row>
    <row r="888" spans="3:17" x14ac:dyDescent="0.25">
      <c r="C888" s="159"/>
      <c r="D888" s="165" t="s">
        <v>283</v>
      </c>
      <c r="E888" s="161">
        <v>43307</v>
      </c>
      <c r="F888" s="172" t="str">
        <f t="shared" si="42"/>
        <v>2018-19</v>
      </c>
      <c r="G888" s="68"/>
      <c r="H888" s="167" t="s">
        <v>279</v>
      </c>
      <c r="I888" s="173">
        <v>89592.114709699614</v>
      </c>
      <c r="J888" s="168">
        <f>IFERROR(MIN('MP Calculations'!$E$30/I888,1),"-")</f>
        <v>0.31014580161562261</v>
      </c>
      <c r="K888" s="12"/>
      <c r="L888" s="159">
        <v>35.530560000000001</v>
      </c>
      <c r="M888" s="159" t="s">
        <v>408</v>
      </c>
      <c r="N888" s="159">
        <v>622</v>
      </c>
      <c r="O888" s="185">
        <f t="shared" si="43"/>
        <v>22100.008320000001</v>
      </c>
      <c r="P888" s="215">
        <f t="shared" si="44"/>
        <v>6854.2247961183293</v>
      </c>
      <c r="Q888" s="215" cm="1">
        <f t="array" ref="Q888">IF(P888="-",0,P888/(1+'General inputs'!$H$32)^IFERROR(INDEX('MP Calculations'!$C$40:$C$130,MATCH(F888,'MP Calculations'!$D$40:$D$130,0),0),-1))</f>
        <v>8080.3322685989888</v>
      </c>
    </row>
    <row r="889" spans="3:17" x14ac:dyDescent="0.25">
      <c r="C889" s="159"/>
      <c r="D889" s="165" t="s">
        <v>283</v>
      </c>
      <c r="E889" s="161">
        <v>43307</v>
      </c>
      <c r="F889" s="172" t="str">
        <f t="shared" si="42"/>
        <v>2018-19</v>
      </c>
      <c r="G889" s="68"/>
      <c r="H889" s="167" t="s">
        <v>279</v>
      </c>
      <c r="I889" s="173">
        <v>89592.114709699614</v>
      </c>
      <c r="J889" s="168">
        <f>IFERROR(MIN('MP Calculations'!$E$30/I889,1),"-")</f>
        <v>0.31014580161562261</v>
      </c>
      <c r="K889" s="12"/>
      <c r="L889" s="159">
        <v>70.106471999999997</v>
      </c>
      <c r="M889" s="159" t="s">
        <v>408</v>
      </c>
      <c r="N889" s="159">
        <v>622</v>
      </c>
      <c r="O889" s="185">
        <f t="shared" si="43"/>
        <v>43606.225584</v>
      </c>
      <c r="P889" s="215">
        <f t="shared" si="44"/>
        <v>13524.287789181351</v>
      </c>
      <c r="Q889" s="215" cm="1">
        <f t="array" ref="Q889">IF(P889="-",0,P889/(1+'General inputs'!$H$32)^IFERROR(INDEX('MP Calculations'!$C$40:$C$130,MATCH(F889,'MP Calculations'!$D$40:$D$130,0),0),-1))</f>
        <v>15943.559232931635</v>
      </c>
    </row>
    <row r="890" spans="3:17" x14ac:dyDescent="0.25">
      <c r="C890" s="159"/>
      <c r="D890" s="165" t="s">
        <v>283</v>
      </c>
      <c r="E890" s="161">
        <v>43307</v>
      </c>
      <c r="F890" s="172" t="str">
        <f t="shared" si="42"/>
        <v>2018-19</v>
      </c>
      <c r="G890" s="68"/>
      <c r="H890" s="167" t="s">
        <v>279</v>
      </c>
      <c r="I890" s="173">
        <v>89592.114709699614</v>
      </c>
      <c r="J890" s="168">
        <f>IFERROR(MIN('MP Calculations'!$E$30/I890,1),"-")</f>
        <v>0.31014580161562261</v>
      </c>
      <c r="K890" s="12"/>
      <c r="L890" s="159">
        <v>75.941792000000007</v>
      </c>
      <c r="M890" s="159" t="s">
        <v>408</v>
      </c>
      <c r="N890" s="159">
        <v>622</v>
      </c>
      <c r="O890" s="185">
        <f t="shared" si="43"/>
        <v>47235.794624000002</v>
      </c>
      <c r="P890" s="215">
        <f t="shared" si="44"/>
        <v>14649.983388611397</v>
      </c>
      <c r="Q890" s="215" cm="1">
        <f t="array" ref="Q890">IF(P890="-",0,P890/(1+'General inputs'!$H$32)^IFERROR(INDEX('MP Calculations'!$C$40:$C$130,MATCH(F890,'MP Calculations'!$D$40:$D$130,0),0),-1))</f>
        <v>17270.623160255072</v>
      </c>
    </row>
    <row r="891" spans="3:17" x14ac:dyDescent="0.25">
      <c r="C891" s="159"/>
      <c r="D891" s="165" t="s">
        <v>283</v>
      </c>
      <c r="E891" s="161">
        <v>43307</v>
      </c>
      <c r="F891" s="172" t="str">
        <f t="shared" si="42"/>
        <v>2018-19</v>
      </c>
      <c r="G891" s="68"/>
      <c r="H891" s="167" t="s">
        <v>279</v>
      </c>
      <c r="I891" s="173">
        <v>89592.114709699614</v>
      </c>
      <c r="J891" s="168">
        <f>IFERROR(MIN('MP Calculations'!$E$30/I891,1),"-")</f>
        <v>0.31014580161562261</v>
      </c>
      <c r="K891" s="12"/>
      <c r="L891" s="159">
        <v>68.248917000000006</v>
      </c>
      <c r="M891" s="159" t="s">
        <v>408</v>
      </c>
      <c r="N891" s="159">
        <v>622</v>
      </c>
      <c r="O891" s="185">
        <f t="shared" si="43"/>
        <v>42450.826374000004</v>
      </c>
      <c r="P891" s="215">
        <f t="shared" si="44"/>
        <v>13165.945575009846</v>
      </c>
      <c r="Q891" s="215" cm="1">
        <f t="array" ref="Q891">IF(P891="-",0,P891/(1+'General inputs'!$H$32)^IFERROR(INDEX('MP Calculations'!$C$40:$C$130,MATCH(F891,'MP Calculations'!$D$40:$D$130,0),0),-1))</f>
        <v>15521.115522300637</v>
      </c>
    </row>
    <row r="892" spans="3:17" x14ac:dyDescent="0.25">
      <c r="C892" s="159"/>
      <c r="D892" s="165" t="s">
        <v>913</v>
      </c>
      <c r="E892" s="161">
        <v>43313</v>
      </c>
      <c r="F892" s="172" t="str">
        <f t="shared" si="42"/>
        <v>2018-19</v>
      </c>
      <c r="G892" s="68"/>
      <c r="H892" s="167" t="s">
        <v>279</v>
      </c>
      <c r="I892" s="173">
        <v>89592.114709699614</v>
      </c>
      <c r="J892" s="168">
        <f>IFERROR(MIN('MP Calculations'!$E$30/I892,1),"-")</f>
        <v>0.31014580161562261</v>
      </c>
      <c r="K892" s="12"/>
      <c r="L892" s="159">
        <v>1</v>
      </c>
      <c r="M892" s="159" t="s">
        <v>409</v>
      </c>
      <c r="N892" s="159">
        <v>3139.26</v>
      </c>
      <c r="O892" s="185">
        <f t="shared" si="43"/>
        <v>3139.26</v>
      </c>
      <c r="P892" s="215">
        <f t="shared" si="44"/>
        <v>973.62830917985946</v>
      </c>
      <c r="Q892" s="215" cm="1">
        <f t="array" ref="Q892">IF(P892="-",0,P892/(1+'General inputs'!$H$32)^IFERROR(INDEX('MP Calculations'!$C$40:$C$130,MATCH(F892,'MP Calculations'!$D$40:$D$130,0),0),-1))</f>
        <v>1147.7943134784332</v>
      </c>
    </row>
    <row r="893" spans="3:17" x14ac:dyDescent="0.25">
      <c r="C893" s="159"/>
      <c r="D893" s="165" t="s">
        <v>294</v>
      </c>
      <c r="E893" s="161">
        <v>43328</v>
      </c>
      <c r="F893" s="172" t="str">
        <f t="shared" si="42"/>
        <v>2018-19</v>
      </c>
      <c r="G893" s="68"/>
      <c r="H893" s="167" t="s">
        <v>279</v>
      </c>
      <c r="I893" s="173">
        <v>89592.114709699614</v>
      </c>
      <c r="J893" s="168">
        <f>IFERROR(MIN('MP Calculations'!$E$30/I893,1),"-")</f>
        <v>0.31014580161562261</v>
      </c>
      <c r="K893" s="12"/>
      <c r="L893" s="159">
        <v>3.8950939999999998</v>
      </c>
      <c r="M893" s="159" t="s">
        <v>408</v>
      </c>
      <c r="N893" s="159">
        <v>1908</v>
      </c>
      <c r="O893" s="185">
        <f t="shared" si="43"/>
        <v>7431.839352</v>
      </c>
      <c r="P893" s="215">
        <f t="shared" si="44"/>
        <v>2304.953773304569</v>
      </c>
      <c r="Q893" s="215" cm="1">
        <f t="array" ref="Q893">IF(P893="-",0,P893/(1+'General inputs'!$H$32)^IFERROR(INDEX('MP Calculations'!$C$40:$C$130,MATCH(F893,'MP Calculations'!$D$40:$D$130,0),0),-1))</f>
        <v>2717.2718879324561</v>
      </c>
    </row>
    <row r="894" spans="3:17" x14ac:dyDescent="0.25">
      <c r="C894" s="159"/>
      <c r="D894" s="165" t="s">
        <v>287</v>
      </c>
      <c r="E894" s="161">
        <v>43328</v>
      </c>
      <c r="F894" s="172" t="str">
        <f t="shared" si="42"/>
        <v>2018-19</v>
      </c>
      <c r="G894" s="68"/>
      <c r="H894" s="167" t="s">
        <v>279</v>
      </c>
      <c r="I894" s="173">
        <v>89592.114709699614</v>
      </c>
      <c r="J894" s="168">
        <f>IFERROR(MIN('MP Calculations'!$E$30/I894,1),"-")</f>
        <v>0.31014580161562261</v>
      </c>
      <c r="K894" s="12"/>
      <c r="L894" s="159">
        <v>2.5024190000000002</v>
      </c>
      <c r="M894" s="159" t="s">
        <v>408</v>
      </c>
      <c r="N894" s="159">
        <v>995</v>
      </c>
      <c r="O894" s="185">
        <f t="shared" si="43"/>
        <v>2489.9069050000003</v>
      </c>
      <c r="P894" s="215">
        <f t="shared" si="44"/>
        <v>772.23417299949892</v>
      </c>
      <c r="Q894" s="215" cm="1">
        <f t="array" ref="Q894">IF(P894="-",0,P894/(1+'General inputs'!$H$32)^IFERROR(INDEX('MP Calculations'!$C$40:$C$130,MATCH(F894,'MP Calculations'!$D$40:$D$130,0),0),-1))</f>
        <v>910.37409665006567</v>
      </c>
    </row>
    <row r="895" spans="3:17" x14ac:dyDescent="0.25">
      <c r="C895" s="159"/>
      <c r="D895" s="165" t="s">
        <v>287</v>
      </c>
      <c r="E895" s="161">
        <v>43328</v>
      </c>
      <c r="F895" s="172" t="str">
        <f t="shared" si="42"/>
        <v>2018-19</v>
      </c>
      <c r="G895" s="68"/>
      <c r="H895" s="167" t="s">
        <v>279</v>
      </c>
      <c r="I895" s="173">
        <v>89592.114709699614</v>
      </c>
      <c r="J895" s="168">
        <f>IFERROR(MIN('MP Calculations'!$E$30/I895,1),"-")</f>
        <v>0.31014580161562261</v>
      </c>
      <c r="K895" s="12"/>
      <c r="L895" s="159">
        <v>2.4673259999999999</v>
      </c>
      <c r="M895" s="159" t="s">
        <v>408</v>
      </c>
      <c r="N895" s="159">
        <v>995</v>
      </c>
      <c r="O895" s="185">
        <f t="shared" si="43"/>
        <v>2454.9893699999998</v>
      </c>
      <c r="P895" s="215">
        <f t="shared" si="44"/>
        <v>761.40464611648224</v>
      </c>
      <c r="Q895" s="215" cm="1">
        <f t="array" ref="Q895">IF(P895="-",0,P895/(1+'General inputs'!$H$32)^IFERROR(INDEX('MP Calculations'!$C$40:$C$130,MATCH(F895,'MP Calculations'!$D$40:$D$130,0),0),-1))</f>
        <v>897.60734648802611</v>
      </c>
    </row>
    <row r="896" spans="3:17" x14ac:dyDescent="0.25">
      <c r="C896" s="159"/>
      <c r="D896" s="165" t="s">
        <v>287</v>
      </c>
      <c r="E896" s="161">
        <v>43328</v>
      </c>
      <c r="F896" s="172" t="str">
        <f t="shared" si="42"/>
        <v>2018-19</v>
      </c>
      <c r="G896" s="68"/>
      <c r="H896" s="167" t="s">
        <v>279</v>
      </c>
      <c r="I896" s="173">
        <v>89592.114709699614</v>
      </c>
      <c r="J896" s="168">
        <f>IFERROR(MIN('MP Calculations'!$E$30/I896,1),"-")</f>
        <v>0.31014580161562261</v>
      </c>
      <c r="K896" s="12"/>
      <c r="L896" s="159">
        <v>2.3361930000000002</v>
      </c>
      <c r="M896" s="159" t="s">
        <v>408</v>
      </c>
      <c r="N896" s="159">
        <v>995</v>
      </c>
      <c r="O896" s="185">
        <f t="shared" si="43"/>
        <v>2324.5120350000002</v>
      </c>
      <c r="P896" s="215">
        <f t="shared" si="44"/>
        <v>720.93764846023726</v>
      </c>
      <c r="Q896" s="215" cm="1">
        <f t="array" ref="Q896">IF(P896="-",0,P896/(1+'General inputs'!$H$32)^IFERROR(INDEX('MP Calculations'!$C$40:$C$130,MATCH(F896,'MP Calculations'!$D$40:$D$130,0),0),-1))</f>
        <v>849.9014721256541</v>
      </c>
    </row>
    <row r="897" spans="3:17" x14ac:dyDescent="0.25">
      <c r="C897" s="159"/>
      <c r="D897" s="165" t="s">
        <v>287</v>
      </c>
      <c r="E897" s="161">
        <v>43328</v>
      </c>
      <c r="F897" s="172" t="str">
        <f t="shared" si="42"/>
        <v>2018-19</v>
      </c>
      <c r="G897" s="68"/>
      <c r="H897" s="167" t="s">
        <v>279</v>
      </c>
      <c r="I897" s="173">
        <v>89592.114709699614</v>
      </c>
      <c r="J897" s="168">
        <f>IFERROR(MIN('MP Calculations'!$E$30/I897,1),"-")</f>
        <v>0.31014580161562261</v>
      </c>
      <c r="K897" s="12"/>
      <c r="L897" s="159">
        <v>2.434625</v>
      </c>
      <c r="M897" s="159" t="s">
        <v>408</v>
      </c>
      <c r="N897" s="159">
        <v>995</v>
      </c>
      <c r="O897" s="185">
        <f t="shared" si="43"/>
        <v>2422.4518750000002</v>
      </c>
      <c r="P897" s="215">
        <f t="shared" si="44"/>
        <v>751.31327864714308</v>
      </c>
      <c r="Q897" s="215" cm="1">
        <f t="array" ref="Q897">IF(P897="-",0,P897/(1+'General inputs'!$H$32)^IFERROR(INDEX('MP Calculations'!$C$40:$C$130,MATCH(F897,'MP Calculations'!$D$40:$D$130,0),0),-1))</f>
        <v>885.71080025234232</v>
      </c>
    </row>
    <row r="898" spans="3:17" x14ac:dyDescent="0.25">
      <c r="C898" s="159"/>
      <c r="D898" s="165" t="s">
        <v>287</v>
      </c>
      <c r="E898" s="161">
        <v>43328</v>
      </c>
      <c r="F898" s="172" t="str">
        <f t="shared" si="42"/>
        <v>2018-19</v>
      </c>
      <c r="G898" s="68"/>
      <c r="H898" s="167" t="s">
        <v>279</v>
      </c>
      <c r="I898" s="173">
        <v>89592.114709699614</v>
      </c>
      <c r="J898" s="168">
        <f>IFERROR(MIN('MP Calculations'!$E$30/I898,1),"-")</f>
        <v>0.31014580161562261</v>
      </c>
      <c r="K898" s="12"/>
      <c r="L898" s="159">
        <v>4.3741630000000002</v>
      </c>
      <c r="M898" s="159" t="s">
        <v>408</v>
      </c>
      <c r="N898" s="159">
        <v>995</v>
      </c>
      <c r="O898" s="185">
        <f t="shared" si="43"/>
        <v>4352.2921850000002</v>
      </c>
      <c r="P898" s="215">
        <f t="shared" si="44"/>
        <v>1349.8451485822347</v>
      </c>
      <c r="Q898" s="215" cm="1">
        <f t="array" ref="Q898">IF(P898="-",0,P898/(1+'General inputs'!$H$32)^IFERROR(INDEX('MP Calculations'!$C$40:$C$130,MATCH(F898,'MP Calculations'!$D$40:$D$130,0),0),-1))</f>
        <v>1591.3101242138673</v>
      </c>
    </row>
    <row r="899" spans="3:17" ht="23" x14ac:dyDescent="0.25">
      <c r="C899" s="159"/>
      <c r="D899" s="165" t="s">
        <v>914</v>
      </c>
      <c r="E899" s="161">
        <v>43328</v>
      </c>
      <c r="F899" s="172" t="str">
        <f t="shared" si="42"/>
        <v>2018-19</v>
      </c>
      <c r="G899" s="68"/>
      <c r="H899" s="167" t="s">
        <v>279</v>
      </c>
      <c r="I899" s="173">
        <v>89592.114709699614</v>
      </c>
      <c r="J899" s="168">
        <f>IFERROR(MIN('MP Calculations'!$E$30/I899,1),"-")</f>
        <v>0.31014580161562261</v>
      </c>
      <c r="K899" s="12"/>
      <c r="L899" s="159">
        <v>60.201833000000001</v>
      </c>
      <c r="M899" s="159" t="s">
        <v>408</v>
      </c>
      <c r="N899" s="159">
        <v>3983</v>
      </c>
      <c r="O899" s="185">
        <f t="shared" si="43"/>
        <v>239783.90083900001</v>
      </c>
      <c r="P899" s="215">
        <f t="shared" si="44"/>
        <v>74367.970140232617</v>
      </c>
      <c r="Q899" s="215" cm="1">
        <f t="array" ref="Q899">IF(P899="-",0,P899/(1+'General inputs'!$H$32)^IFERROR(INDEX('MP Calculations'!$C$40:$C$130,MATCH(F899,'MP Calculations'!$D$40:$D$130,0),0),-1))</f>
        <v>87671.170226958158</v>
      </c>
    </row>
    <row r="900" spans="3:17" ht="23" x14ac:dyDescent="0.25">
      <c r="C900" s="159"/>
      <c r="D900" s="165" t="s">
        <v>914</v>
      </c>
      <c r="E900" s="161">
        <v>43328</v>
      </c>
      <c r="F900" s="172" t="str">
        <f t="shared" si="42"/>
        <v>2018-19</v>
      </c>
      <c r="G900" s="68"/>
      <c r="H900" s="167" t="s">
        <v>279</v>
      </c>
      <c r="I900" s="173">
        <v>89592.114709699614</v>
      </c>
      <c r="J900" s="168">
        <f>IFERROR(MIN('MP Calculations'!$E$30/I900,1),"-")</f>
        <v>0.31014580161562261</v>
      </c>
      <c r="K900" s="12"/>
      <c r="L900" s="159">
        <v>60.092711999999999</v>
      </c>
      <c r="M900" s="159" t="s">
        <v>408</v>
      </c>
      <c r="N900" s="159">
        <v>3983</v>
      </c>
      <c r="O900" s="185">
        <f t="shared" si="43"/>
        <v>239349.27189599999</v>
      </c>
      <c r="P900" s="215">
        <f t="shared" si="44"/>
        <v>74233.171798300522</v>
      </c>
      <c r="Q900" s="215" cm="1">
        <f t="array" ref="Q900">IF(P900="-",0,P900/(1+'General inputs'!$H$32)^IFERROR(INDEX('MP Calculations'!$C$40:$C$130,MATCH(F900,'MP Calculations'!$D$40:$D$130,0),0),-1))</f>
        <v>87512.258690720773</v>
      </c>
    </row>
    <row r="901" spans="3:17" ht="23" x14ac:dyDescent="0.25">
      <c r="C901" s="159"/>
      <c r="D901" s="165" t="s">
        <v>914</v>
      </c>
      <c r="E901" s="161">
        <v>43328</v>
      </c>
      <c r="F901" s="172" t="str">
        <f t="shared" si="42"/>
        <v>2018-19</v>
      </c>
      <c r="G901" s="68"/>
      <c r="H901" s="167" t="s">
        <v>279</v>
      </c>
      <c r="I901" s="173">
        <v>89592.114709699614</v>
      </c>
      <c r="J901" s="168">
        <f>IFERROR(MIN('MP Calculations'!$E$30/I901,1),"-")</f>
        <v>0.31014580161562261</v>
      </c>
      <c r="K901" s="12"/>
      <c r="L901" s="159">
        <v>59.988155999999996</v>
      </c>
      <c r="M901" s="159" t="s">
        <v>408</v>
      </c>
      <c r="N901" s="159">
        <v>3983</v>
      </c>
      <c r="O901" s="185">
        <f t="shared" si="43"/>
        <v>238932.82534799998</v>
      </c>
      <c r="P901" s="215">
        <f t="shared" si="44"/>
        <v>74104.01264984101</v>
      </c>
      <c r="Q901" s="215" cm="1">
        <f t="array" ref="Q901">IF(P901="-",0,P901/(1+'General inputs'!$H$32)^IFERROR(INDEX('MP Calculations'!$C$40:$C$130,MATCH(F901,'MP Calculations'!$D$40:$D$130,0),0),-1))</f>
        <v>87359.995106416798</v>
      </c>
    </row>
    <row r="902" spans="3:17" ht="23" x14ac:dyDescent="0.25">
      <c r="C902" s="159"/>
      <c r="D902" s="165" t="s">
        <v>914</v>
      </c>
      <c r="E902" s="161">
        <v>43328</v>
      </c>
      <c r="F902" s="172" t="str">
        <f t="shared" si="42"/>
        <v>2018-19</v>
      </c>
      <c r="G902" s="68"/>
      <c r="H902" s="167" t="s">
        <v>279</v>
      </c>
      <c r="I902" s="173">
        <v>89592.114709699614</v>
      </c>
      <c r="J902" s="168">
        <f>IFERROR(MIN('MP Calculations'!$E$30/I902,1),"-")</f>
        <v>0.31014580161562261</v>
      </c>
      <c r="K902" s="12"/>
      <c r="L902" s="159">
        <v>60.092568</v>
      </c>
      <c r="M902" s="159" t="s">
        <v>408</v>
      </c>
      <c r="N902" s="159">
        <v>3983</v>
      </c>
      <c r="O902" s="185">
        <f t="shared" si="43"/>
        <v>239348.698344</v>
      </c>
      <c r="P902" s="215">
        <f t="shared" si="44"/>
        <v>74232.993913555722</v>
      </c>
      <c r="Q902" s="215" cm="1">
        <f t="array" ref="Q902">IF(P902="-",0,P902/(1+'General inputs'!$H$32)^IFERROR(INDEX('MP Calculations'!$C$40:$C$130,MATCH(F902,'MP Calculations'!$D$40:$D$130,0),0),-1))</f>
        <v>87512.048985336689</v>
      </c>
    </row>
    <row r="903" spans="3:17" ht="23" x14ac:dyDescent="0.25">
      <c r="C903" s="159"/>
      <c r="D903" s="165" t="s">
        <v>914</v>
      </c>
      <c r="E903" s="161">
        <v>43328</v>
      </c>
      <c r="F903" s="172" t="str">
        <f t="shared" si="42"/>
        <v>2018-19</v>
      </c>
      <c r="G903" s="68"/>
      <c r="H903" s="167" t="s">
        <v>279</v>
      </c>
      <c r="I903" s="173">
        <v>89592.114709699614</v>
      </c>
      <c r="J903" s="168">
        <f>IFERROR(MIN('MP Calculations'!$E$30/I903,1),"-")</f>
        <v>0.31014580161562261</v>
      </c>
      <c r="K903" s="12"/>
      <c r="L903" s="159">
        <v>60.116458000000002</v>
      </c>
      <c r="M903" s="159" t="s">
        <v>408</v>
      </c>
      <c r="N903" s="159">
        <v>3983</v>
      </c>
      <c r="O903" s="185">
        <f t="shared" si="43"/>
        <v>239443.85221400001</v>
      </c>
      <c r="P903" s="215">
        <f t="shared" si="44"/>
        <v>74262.5054868437</v>
      </c>
      <c r="Q903" s="215" cm="1">
        <f t="array" ref="Q903">IF(P903="-",0,P903/(1+'General inputs'!$H$32)^IFERROR(INDEX('MP Calculations'!$C$40:$C$130,MATCH(F903,'MP Calculations'!$D$40:$D$130,0),0),-1))</f>
        <v>87546.839691073546</v>
      </c>
    </row>
    <row r="904" spans="3:17" x14ac:dyDescent="0.25">
      <c r="C904" s="159"/>
      <c r="D904" s="165" t="s">
        <v>281</v>
      </c>
      <c r="E904" s="161">
        <v>43328</v>
      </c>
      <c r="F904" s="172" t="str">
        <f t="shared" si="42"/>
        <v>2018-19</v>
      </c>
      <c r="G904" s="68"/>
      <c r="H904" s="167" t="s">
        <v>279</v>
      </c>
      <c r="I904" s="173">
        <v>89592.114709699614</v>
      </c>
      <c r="J904" s="168">
        <f>IFERROR(MIN('MP Calculations'!$E$30/I904,1),"-")</f>
        <v>0.31014580161562261</v>
      </c>
      <c r="K904" s="12"/>
      <c r="L904" s="159">
        <v>7.5852409999999999</v>
      </c>
      <c r="M904" s="159" t="s">
        <v>408</v>
      </c>
      <c r="N904" s="159">
        <v>809</v>
      </c>
      <c r="O904" s="185">
        <f t="shared" si="43"/>
        <v>6136.4599689999995</v>
      </c>
      <c r="P904" s="215">
        <f t="shared" si="44"/>
        <v>1903.1972961676836</v>
      </c>
      <c r="Q904" s="215" cm="1">
        <f t="array" ref="Q904">IF(P904="-",0,P904/(1+'General inputs'!$H$32)^IFERROR(INDEX('MP Calculations'!$C$40:$C$130,MATCH(F904,'MP Calculations'!$D$40:$D$130,0),0),-1))</f>
        <v>2243.6478206030215</v>
      </c>
    </row>
    <row r="905" spans="3:17" x14ac:dyDescent="0.25">
      <c r="C905" s="159"/>
      <c r="D905" s="165" t="s">
        <v>293</v>
      </c>
      <c r="E905" s="161">
        <v>43328</v>
      </c>
      <c r="F905" s="172" t="str">
        <f t="shared" si="42"/>
        <v>2018-19</v>
      </c>
      <c r="G905" s="68"/>
      <c r="H905" s="167" t="s">
        <v>279</v>
      </c>
      <c r="I905" s="173">
        <v>89592.114709699614</v>
      </c>
      <c r="J905" s="168">
        <f>IFERROR(MIN('MP Calculations'!$E$30/I905,1),"-")</f>
        <v>0.31014580161562261</v>
      </c>
      <c r="K905" s="12"/>
      <c r="L905" s="159">
        <v>117.141508</v>
      </c>
      <c r="M905" s="159" t="s">
        <v>408</v>
      </c>
      <c r="N905" s="159">
        <v>1803</v>
      </c>
      <c r="O905" s="185">
        <f t="shared" si="43"/>
        <v>211206.138924</v>
      </c>
      <c r="P905" s="215">
        <f t="shared" si="44"/>
        <v>65504.697262724534</v>
      </c>
      <c r="Q905" s="215" cm="1">
        <f t="array" ref="Q905">IF(P905="-",0,P905/(1+'General inputs'!$H$32)^IFERROR(INDEX('MP Calculations'!$C$40:$C$130,MATCH(F905,'MP Calculations'!$D$40:$D$130,0),0),-1))</f>
        <v>77222.404397438615</v>
      </c>
    </row>
    <row r="906" spans="3:17" x14ac:dyDescent="0.25">
      <c r="C906" s="159"/>
      <c r="D906" s="165" t="s">
        <v>284</v>
      </c>
      <c r="E906" s="161">
        <v>43328</v>
      </c>
      <c r="F906" s="172" t="str">
        <f t="shared" si="42"/>
        <v>2018-19</v>
      </c>
      <c r="G906" s="68"/>
      <c r="H906" s="167" t="s">
        <v>279</v>
      </c>
      <c r="I906" s="173">
        <v>89592.114709699614</v>
      </c>
      <c r="J906" s="168">
        <f>IFERROR(MIN('MP Calculations'!$E$30/I906,1),"-")</f>
        <v>0.31014580161562261</v>
      </c>
      <c r="K906" s="12"/>
      <c r="L906" s="159">
        <v>15.240239000000001</v>
      </c>
      <c r="M906" s="159" t="s">
        <v>408</v>
      </c>
      <c r="N906" s="159">
        <v>405</v>
      </c>
      <c r="O906" s="185">
        <f t="shared" si="43"/>
        <v>6172.2967950000002</v>
      </c>
      <c r="P906" s="215">
        <f t="shared" si="44"/>
        <v>1914.3119372948133</v>
      </c>
      <c r="Q906" s="215" cm="1">
        <f t="array" ref="Q906">IF(P906="-",0,P906/(1+'General inputs'!$H$32)^IFERROR(INDEX('MP Calculations'!$C$40:$C$130,MATCH(F906,'MP Calculations'!$D$40:$D$130,0),0),-1))</f>
        <v>2256.7506872327103</v>
      </c>
    </row>
    <row r="907" spans="3:17" x14ac:dyDescent="0.25">
      <c r="C907" s="159"/>
      <c r="D907" s="165" t="s">
        <v>284</v>
      </c>
      <c r="E907" s="161">
        <v>43328</v>
      </c>
      <c r="F907" s="172" t="str">
        <f t="shared" si="42"/>
        <v>2018-19</v>
      </c>
      <c r="G907" s="68"/>
      <c r="H907" s="167" t="s">
        <v>279</v>
      </c>
      <c r="I907" s="173">
        <v>89592.114709699614</v>
      </c>
      <c r="J907" s="168">
        <f>IFERROR(MIN('MP Calculations'!$E$30/I907,1),"-")</f>
        <v>0.31014580161562261</v>
      </c>
      <c r="K907" s="12"/>
      <c r="L907" s="159">
        <v>15.23949</v>
      </c>
      <c r="M907" s="159" t="s">
        <v>408</v>
      </c>
      <c r="N907" s="159">
        <v>405</v>
      </c>
      <c r="O907" s="185">
        <f t="shared" si="43"/>
        <v>6171.9934499999999</v>
      </c>
      <c r="P907" s="215">
        <f t="shared" si="44"/>
        <v>1914.2178561166222</v>
      </c>
      <c r="Q907" s="215" cm="1">
        <f t="array" ref="Q907">IF(P907="-",0,P907/(1+'General inputs'!$H$32)^IFERROR(INDEX('MP Calculations'!$C$40:$C$130,MATCH(F907,'MP Calculations'!$D$40:$D$130,0),0),-1))</f>
        <v>2256.639776487496</v>
      </c>
    </row>
    <row r="908" spans="3:17" x14ac:dyDescent="0.25">
      <c r="C908" s="159"/>
      <c r="D908" s="165" t="s">
        <v>284</v>
      </c>
      <c r="E908" s="161">
        <v>43328</v>
      </c>
      <c r="F908" s="172" t="str">
        <f t="shared" si="42"/>
        <v>2018-19</v>
      </c>
      <c r="G908" s="68"/>
      <c r="H908" s="167" t="s">
        <v>279</v>
      </c>
      <c r="I908" s="173">
        <v>89592.114709699614</v>
      </c>
      <c r="J908" s="168">
        <f>IFERROR(MIN('MP Calculations'!$E$30/I908,1),"-")</f>
        <v>0.31014580161562261</v>
      </c>
      <c r="K908" s="12"/>
      <c r="L908" s="159">
        <v>15.339048</v>
      </c>
      <c r="M908" s="159" t="s">
        <v>408</v>
      </c>
      <c r="N908" s="159">
        <v>405</v>
      </c>
      <c r="O908" s="185">
        <f t="shared" si="43"/>
        <v>6212.3144400000001</v>
      </c>
      <c r="P908" s="215">
        <f t="shared" si="44"/>
        <v>1926.7232418821077</v>
      </c>
      <c r="Q908" s="215" cm="1">
        <f t="array" ref="Q908">IF(P908="-",0,P908/(1+'General inputs'!$H$32)^IFERROR(INDEX('MP Calculations'!$C$40:$C$130,MATCH(F908,'MP Calculations'!$D$40:$D$130,0),0),-1))</f>
        <v>2271.382168973566</v>
      </c>
    </row>
    <row r="909" spans="3:17" x14ac:dyDescent="0.25">
      <c r="C909" s="159"/>
      <c r="D909" s="165" t="s">
        <v>284</v>
      </c>
      <c r="E909" s="161">
        <v>43328</v>
      </c>
      <c r="F909" s="172" t="str">
        <f t="shared" si="42"/>
        <v>2018-19</v>
      </c>
      <c r="G909" s="68"/>
      <c r="H909" s="167" t="s">
        <v>279</v>
      </c>
      <c r="I909" s="173">
        <v>89592.114709699614</v>
      </c>
      <c r="J909" s="168">
        <f>IFERROR(MIN('MP Calculations'!$E$30/I909,1),"-")</f>
        <v>0.31014580161562261</v>
      </c>
      <c r="K909" s="12"/>
      <c r="L909" s="159">
        <v>15.224938</v>
      </c>
      <c r="M909" s="159" t="s">
        <v>408</v>
      </c>
      <c r="N909" s="159">
        <v>405</v>
      </c>
      <c r="O909" s="185">
        <f t="shared" si="43"/>
        <v>6166.0998899999995</v>
      </c>
      <c r="P909" s="215">
        <f t="shared" si="44"/>
        <v>1912.3899932260522</v>
      </c>
      <c r="Q909" s="215" cm="1">
        <f t="array" ref="Q909">IF(P909="-",0,P909/(1+'General inputs'!$H$32)^IFERROR(INDEX('MP Calculations'!$C$40:$C$130,MATCH(F909,'MP Calculations'!$D$40:$D$130,0),0),-1))</f>
        <v>2254.4849391518992</v>
      </c>
    </row>
    <row r="910" spans="3:17" x14ac:dyDescent="0.25">
      <c r="C910" s="159"/>
      <c r="D910" s="165" t="s">
        <v>284</v>
      </c>
      <c r="E910" s="161">
        <v>43328</v>
      </c>
      <c r="F910" s="172" t="str">
        <f t="shared" si="42"/>
        <v>2018-19</v>
      </c>
      <c r="G910" s="68"/>
      <c r="H910" s="167" t="s">
        <v>279</v>
      </c>
      <c r="I910" s="173">
        <v>89592.114709699614</v>
      </c>
      <c r="J910" s="168">
        <f>IFERROR(MIN('MP Calculations'!$E$30/I910,1),"-")</f>
        <v>0.31014580161562261</v>
      </c>
      <c r="K910" s="12"/>
      <c r="L910" s="159">
        <v>15.310995</v>
      </c>
      <c r="M910" s="159" t="s">
        <v>408</v>
      </c>
      <c r="N910" s="159">
        <v>405</v>
      </c>
      <c r="O910" s="185">
        <f t="shared" si="43"/>
        <v>6200.9529750000002</v>
      </c>
      <c r="P910" s="215">
        <f t="shared" si="44"/>
        <v>1923.1995312121549</v>
      </c>
      <c r="Q910" s="215" cm="1">
        <f t="array" ref="Q910">IF(P910="-",0,P910/(1+'General inputs'!$H$32)^IFERROR(INDEX('MP Calculations'!$C$40:$C$130,MATCH(F910,'MP Calculations'!$D$40:$D$130,0),0),-1))</f>
        <v>2267.2281247339092</v>
      </c>
    </row>
    <row r="911" spans="3:17" x14ac:dyDescent="0.25">
      <c r="C911" s="159"/>
      <c r="D911" s="165" t="s">
        <v>287</v>
      </c>
      <c r="E911" s="161">
        <v>43328</v>
      </c>
      <c r="F911" s="172" t="str">
        <f t="shared" si="42"/>
        <v>2018-19</v>
      </c>
      <c r="G911" s="68"/>
      <c r="H911" s="167" t="s">
        <v>279</v>
      </c>
      <c r="I911" s="173">
        <v>89592.114709699614</v>
      </c>
      <c r="J911" s="168">
        <f>IFERROR(MIN('MP Calculations'!$E$30/I911,1),"-")</f>
        <v>0.31014580161562261</v>
      </c>
      <c r="K911" s="12"/>
      <c r="L911" s="159">
        <v>14.404977000000001</v>
      </c>
      <c r="M911" s="159" t="s">
        <v>408</v>
      </c>
      <c r="N911" s="159">
        <v>995</v>
      </c>
      <c r="O911" s="185">
        <f t="shared" si="43"/>
        <v>14332.952115</v>
      </c>
      <c r="P911" s="215">
        <f t="shared" si="44"/>
        <v>4445.3049232250087</v>
      </c>
      <c r="Q911" s="215" cm="1">
        <f t="array" ref="Q911">IF(P911="-",0,P911/(1+'General inputs'!$H$32)^IFERROR(INDEX('MP Calculations'!$C$40:$C$130,MATCH(F911,'MP Calculations'!$D$40:$D$130,0),0),-1))</f>
        <v>5240.4964650763814</v>
      </c>
    </row>
    <row r="912" spans="3:17" x14ac:dyDescent="0.25">
      <c r="C912" s="159"/>
      <c r="D912" s="165" t="s">
        <v>287</v>
      </c>
      <c r="E912" s="161">
        <v>43328</v>
      </c>
      <c r="F912" s="172" t="str">
        <f t="shared" si="42"/>
        <v>2018-19</v>
      </c>
      <c r="G912" s="68"/>
      <c r="H912" s="167" t="s">
        <v>279</v>
      </c>
      <c r="I912" s="173">
        <v>89592.114709699614</v>
      </c>
      <c r="J912" s="168">
        <f>IFERROR(MIN('MP Calculations'!$E$30/I912,1),"-")</f>
        <v>0.31014580161562261</v>
      </c>
      <c r="K912" s="12"/>
      <c r="L912" s="159">
        <v>14.438556</v>
      </c>
      <c r="M912" s="159" t="s">
        <v>408</v>
      </c>
      <c r="N912" s="159">
        <v>995</v>
      </c>
      <c r="O912" s="185">
        <f t="shared" si="43"/>
        <v>14366.363219999999</v>
      </c>
      <c r="P912" s="215">
        <f t="shared" si="44"/>
        <v>4455.667237168097</v>
      </c>
      <c r="Q912" s="215" cm="1">
        <f t="array" ref="Q912">IF(P912="-",0,P912/(1+'General inputs'!$H$32)^IFERROR(INDEX('MP Calculations'!$C$40:$C$130,MATCH(F912,'MP Calculations'!$D$40:$D$130,0),0),-1))</f>
        <v>5252.7124256295147</v>
      </c>
    </row>
    <row r="913" spans="3:17" x14ac:dyDescent="0.25">
      <c r="C913" s="159"/>
      <c r="D913" s="165" t="s">
        <v>287</v>
      </c>
      <c r="E913" s="161">
        <v>43328</v>
      </c>
      <c r="F913" s="172" t="str">
        <f t="shared" si="42"/>
        <v>2018-19</v>
      </c>
      <c r="G913" s="68"/>
      <c r="H913" s="167" t="s">
        <v>279</v>
      </c>
      <c r="I913" s="173">
        <v>89592.114709699614</v>
      </c>
      <c r="J913" s="168">
        <f>IFERROR(MIN('MP Calculations'!$E$30/I913,1),"-")</f>
        <v>0.31014580161562261</v>
      </c>
      <c r="K913" s="12"/>
      <c r="L913" s="159">
        <v>14.471712</v>
      </c>
      <c r="M913" s="159" t="s">
        <v>408</v>
      </c>
      <c r="N913" s="159">
        <v>995</v>
      </c>
      <c r="O913" s="185">
        <f t="shared" si="43"/>
        <v>14399.353440000001</v>
      </c>
      <c r="P913" s="215">
        <f t="shared" si="44"/>
        <v>4465.8990153954728</v>
      </c>
      <c r="Q913" s="215" cm="1">
        <f t="array" ref="Q913">IF(P913="-",0,P913/(1+'General inputs'!$H$32)^IFERROR(INDEX('MP Calculations'!$C$40:$C$130,MATCH(F913,'MP Calculations'!$D$40:$D$130,0),0),-1))</f>
        <v>5264.7744997859727</v>
      </c>
    </row>
    <row r="914" spans="3:17" x14ac:dyDescent="0.25">
      <c r="C914" s="159"/>
      <c r="D914" s="165" t="s">
        <v>287</v>
      </c>
      <c r="E914" s="161">
        <v>43328</v>
      </c>
      <c r="F914" s="172" t="str">
        <f t="shared" si="42"/>
        <v>2018-19</v>
      </c>
      <c r="G914" s="68"/>
      <c r="H914" s="167" t="s">
        <v>279</v>
      </c>
      <c r="I914" s="173">
        <v>89592.114709699614</v>
      </c>
      <c r="J914" s="168">
        <f>IFERROR(MIN('MP Calculations'!$E$30/I914,1),"-")</f>
        <v>0.31014580161562261</v>
      </c>
      <c r="K914" s="12"/>
      <c r="L914" s="159">
        <v>14.528551999999999</v>
      </c>
      <c r="M914" s="159" t="s">
        <v>408</v>
      </c>
      <c r="N914" s="159">
        <v>995</v>
      </c>
      <c r="O914" s="185">
        <f t="shared" si="43"/>
        <v>14455.909239999999</v>
      </c>
      <c r="P914" s="215">
        <f t="shared" si="44"/>
        <v>4483.4395593224854</v>
      </c>
      <c r="Q914" s="215" cm="1">
        <f t="array" ref="Q914">IF(P914="-",0,P914/(1+'General inputs'!$H$32)^IFERROR(INDEX('MP Calculations'!$C$40:$C$130,MATCH(F914,'MP Calculations'!$D$40:$D$130,0),0),-1))</f>
        <v>5285.4527569657612</v>
      </c>
    </row>
    <row r="915" spans="3:17" x14ac:dyDescent="0.25">
      <c r="C915" s="159"/>
      <c r="D915" s="165" t="s">
        <v>287</v>
      </c>
      <c r="E915" s="161">
        <v>43328</v>
      </c>
      <c r="F915" s="172" t="str">
        <f t="shared" si="42"/>
        <v>2018-19</v>
      </c>
      <c r="G915" s="68"/>
      <c r="H915" s="167" t="s">
        <v>279</v>
      </c>
      <c r="I915" s="173">
        <v>89592.114709699614</v>
      </c>
      <c r="J915" s="168">
        <f>IFERROR(MIN('MP Calculations'!$E$30/I915,1),"-")</f>
        <v>0.31014580161562261</v>
      </c>
      <c r="K915" s="12"/>
      <c r="L915" s="159">
        <v>14.383234</v>
      </c>
      <c r="M915" s="159" t="s">
        <v>408</v>
      </c>
      <c r="N915" s="159">
        <v>995</v>
      </c>
      <c r="O915" s="185">
        <f t="shared" si="43"/>
        <v>14311.31783</v>
      </c>
      <c r="P915" s="215">
        <f t="shared" si="44"/>
        <v>4438.5951405613023</v>
      </c>
      <c r="Q915" s="215" cm="1">
        <f t="array" ref="Q915">IF(P915="-",0,P915/(1+'General inputs'!$H$32)^IFERROR(INDEX('MP Calculations'!$C$40:$C$130,MATCH(F915,'MP Calculations'!$D$40:$D$130,0),0),-1))</f>
        <v>5232.5864132491442</v>
      </c>
    </row>
    <row r="916" spans="3:17" x14ac:dyDescent="0.25">
      <c r="C916" s="159"/>
      <c r="D916" s="165" t="s">
        <v>915</v>
      </c>
      <c r="E916" s="161">
        <v>43328</v>
      </c>
      <c r="F916" s="172" t="str">
        <f t="shared" si="42"/>
        <v>2018-19</v>
      </c>
      <c r="G916" s="68"/>
      <c r="H916" s="167" t="s">
        <v>279</v>
      </c>
      <c r="I916" s="173">
        <v>89592.114709699614</v>
      </c>
      <c r="J916" s="168">
        <f>IFERROR(MIN('MP Calculations'!$E$30/I916,1),"-")</f>
        <v>0.31014580161562261</v>
      </c>
      <c r="K916" s="12"/>
      <c r="L916" s="159">
        <v>1</v>
      </c>
      <c r="M916" s="159" t="s">
        <v>409</v>
      </c>
      <c r="N916" s="159">
        <v>20714.89</v>
      </c>
      <c r="O916" s="185">
        <f t="shared" si="43"/>
        <v>20714.89</v>
      </c>
      <c r="P916" s="215">
        <f t="shared" si="44"/>
        <v>6424.6361644294448</v>
      </c>
      <c r="Q916" s="215" cm="1">
        <f t="array" ref="Q916">IF(P916="-",0,P916/(1+'General inputs'!$H$32)^IFERROR(INDEX('MP Calculations'!$C$40:$C$130,MATCH(F916,'MP Calculations'!$D$40:$D$130,0),0),-1))</f>
        <v>7573.8973345091708</v>
      </c>
    </row>
    <row r="917" spans="3:17" x14ac:dyDescent="0.25">
      <c r="C917" s="159"/>
      <c r="D917" s="165" t="s">
        <v>916</v>
      </c>
      <c r="E917" s="161">
        <v>43343</v>
      </c>
      <c r="F917" s="172" t="str">
        <f t="shared" si="42"/>
        <v>2018-19</v>
      </c>
      <c r="G917" s="68"/>
      <c r="H917" s="167" t="s">
        <v>279</v>
      </c>
      <c r="I917" s="173">
        <v>89592.114709699614</v>
      </c>
      <c r="J917" s="168">
        <f>IFERROR(MIN('MP Calculations'!$E$30/I917,1),"-")</f>
        <v>0.31014580161562261</v>
      </c>
      <c r="K917" s="12"/>
      <c r="L917" s="159">
        <v>1</v>
      </c>
      <c r="M917" s="159" t="s">
        <v>409</v>
      </c>
      <c r="N917" s="159">
        <v>47610.71</v>
      </c>
      <c r="O917" s="185">
        <f t="shared" si="43"/>
        <v>47610.71</v>
      </c>
      <c r="P917" s="215">
        <f t="shared" si="44"/>
        <v>14766.261818438939</v>
      </c>
      <c r="Q917" s="215" cm="1">
        <f t="array" ref="Q917">IF(P917="-",0,P917/(1+'General inputs'!$H$32)^IFERROR(INDEX('MP Calculations'!$C$40:$C$130,MATCH(F917,'MP Calculations'!$D$40:$D$130,0),0),-1))</f>
        <v>17407.701878363299</v>
      </c>
    </row>
    <row r="918" spans="3:17" x14ac:dyDescent="0.25">
      <c r="C918" s="159"/>
      <c r="D918" s="165" t="s">
        <v>283</v>
      </c>
      <c r="E918" s="161">
        <v>43364</v>
      </c>
      <c r="F918" s="172" t="str">
        <f t="shared" ref="F918:F981" si="45">IF(E918="","-",IF(OR(E918&lt;$E$15,E918&gt;$E$16),"ERROR - date outside of range",IF(MONTH(E918)&gt;=7,YEAR(E918)&amp;"-"&amp;IF(YEAR(E918)=1999,"00",IF(AND(YEAR(E918)&gt;=2000,YEAR(E918)&lt;2009),"0","")&amp;RIGHT(YEAR(E918),2)+1),RIGHT(YEAR(E918),4)-1&amp;"-"&amp;RIGHT(YEAR(E918),2))))</f>
        <v>2018-19</v>
      </c>
      <c r="G918" s="68"/>
      <c r="H918" s="167" t="s">
        <v>279</v>
      </c>
      <c r="I918" s="173">
        <v>89592.114709699614</v>
      </c>
      <c r="J918" s="168">
        <f>IFERROR(MIN('MP Calculations'!$E$30/I918,1),"-")</f>
        <v>0.31014580161562261</v>
      </c>
      <c r="K918" s="12"/>
      <c r="L918" s="159">
        <v>14.830598</v>
      </c>
      <c r="M918" s="159" t="s">
        <v>408</v>
      </c>
      <c r="N918" s="159">
        <v>622</v>
      </c>
      <c r="O918" s="185">
        <f t="shared" ref="O918:O981" si="46">IF(N918="","-",L918*N918)</f>
        <v>9224.6319559999993</v>
      </c>
      <c r="P918" s="215">
        <f t="shared" ref="P918:P981" si="47">IF(O918="-","-",IF(OR(E918&lt;$E$15,E918&gt;$E$16),0,O918*J918))</f>
        <v>2860.9808726027086</v>
      </c>
      <c r="Q918" s="215" cm="1">
        <f t="array" ref="Q918">IF(P918="-",0,P918/(1+'General inputs'!$H$32)^IFERROR(INDEX('MP Calculations'!$C$40:$C$130,MATCH(F918,'MP Calculations'!$D$40:$D$130,0),0),-1))</f>
        <v>3372.7630406618869</v>
      </c>
    </row>
    <row r="919" spans="3:17" x14ac:dyDescent="0.25">
      <c r="C919" s="159"/>
      <c r="D919" s="165" t="s">
        <v>283</v>
      </c>
      <c r="E919" s="161">
        <v>43364</v>
      </c>
      <c r="F919" s="172" t="str">
        <f t="shared" si="45"/>
        <v>2018-19</v>
      </c>
      <c r="G919" s="68"/>
      <c r="H919" s="167" t="s">
        <v>279</v>
      </c>
      <c r="I919" s="173">
        <v>89592.114709699614</v>
      </c>
      <c r="J919" s="168">
        <f>IFERROR(MIN('MP Calculations'!$E$30/I919,1),"-")</f>
        <v>0.31014580161562261</v>
      </c>
      <c r="K919" s="12"/>
      <c r="L919" s="159">
        <v>50.390076999999998</v>
      </c>
      <c r="M919" s="159" t="s">
        <v>408</v>
      </c>
      <c r="N919" s="159">
        <v>622</v>
      </c>
      <c r="O919" s="185">
        <f t="shared" si="46"/>
        <v>31342.627893999997</v>
      </c>
      <c r="P919" s="215">
        <f t="shared" si="47"/>
        <v>9720.7844529248032</v>
      </c>
      <c r="Q919" s="215" cm="1">
        <f t="array" ref="Q919">IF(P919="-",0,P919/(1+'General inputs'!$H$32)^IFERROR(INDEX('MP Calculations'!$C$40:$C$130,MATCH(F919,'MP Calculations'!$D$40:$D$130,0),0),-1))</f>
        <v>11459.672045706222</v>
      </c>
    </row>
    <row r="920" spans="3:17" x14ac:dyDescent="0.25">
      <c r="C920" s="159"/>
      <c r="D920" s="165" t="s">
        <v>283</v>
      </c>
      <c r="E920" s="161">
        <v>43364</v>
      </c>
      <c r="F920" s="172" t="str">
        <f t="shared" si="45"/>
        <v>2018-19</v>
      </c>
      <c r="G920" s="68"/>
      <c r="H920" s="167" t="s">
        <v>279</v>
      </c>
      <c r="I920" s="173">
        <v>89592.114709699614</v>
      </c>
      <c r="J920" s="168">
        <f>IFERROR(MIN('MP Calculations'!$E$30/I920,1),"-")</f>
        <v>0.31014580161562261</v>
      </c>
      <c r="K920" s="12"/>
      <c r="L920" s="159">
        <v>66.726500999999999</v>
      </c>
      <c r="M920" s="159" t="s">
        <v>408</v>
      </c>
      <c r="N920" s="159">
        <v>622</v>
      </c>
      <c r="O920" s="185">
        <f t="shared" si="46"/>
        <v>41503.883622000001</v>
      </c>
      <c r="P920" s="215">
        <f t="shared" si="47"/>
        <v>12872.2552561067</v>
      </c>
      <c r="Q920" s="215" cm="1">
        <f t="array" ref="Q920">IF(P920="-",0,P920/(1+'General inputs'!$H$32)^IFERROR(INDEX('MP Calculations'!$C$40:$C$130,MATCH(F920,'MP Calculations'!$D$40:$D$130,0),0),-1))</f>
        <v>15174.888861898115</v>
      </c>
    </row>
    <row r="921" spans="3:17" x14ac:dyDescent="0.25">
      <c r="C921" s="159"/>
      <c r="D921" s="165" t="s">
        <v>283</v>
      </c>
      <c r="E921" s="161">
        <v>43364</v>
      </c>
      <c r="F921" s="172" t="str">
        <f t="shared" si="45"/>
        <v>2018-19</v>
      </c>
      <c r="G921" s="68"/>
      <c r="H921" s="167" t="s">
        <v>279</v>
      </c>
      <c r="I921" s="173">
        <v>89592.114709699614</v>
      </c>
      <c r="J921" s="168">
        <f>IFERROR(MIN('MP Calculations'!$E$30/I921,1),"-")</f>
        <v>0.31014580161562261</v>
      </c>
      <c r="K921" s="12"/>
      <c r="L921" s="159">
        <v>18.635031999999999</v>
      </c>
      <c r="M921" s="159" t="s">
        <v>408</v>
      </c>
      <c r="N921" s="159">
        <v>622</v>
      </c>
      <c r="O921" s="185">
        <f t="shared" si="46"/>
        <v>11590.989904</v>
      </c>
      <c r="P921" s="215">
        <f t="shared" si="47"/>
        <v>3594.8968552946685</v>
      </c>
      <c r="Q921" s="215" cm="1">
        <f t="array" ref="Q921">IF(P921="-",0,P921/(1+'General inputs'!$H$32)^IFERROR(INDEX('MP Calculations'!$C$40:$C$130,MATCH(F921,'MP Calculations'!$D$40:$D$130,0),0),-1))</f>
        <v>4237.9644563996389</v>
      </c>
    </row>
    <row r="922" spans="3:17" x14ac:dyDescent="0.25">
      <c r="C922" s="159"/>
      <c r="D922" s="165" t="s">
        <v>917</v>
      </c>
      <c r="E922" s="161">
        <v>43388</v>
      </c>
      <c r="F922" s="172" t="str">
        <f t="shared" si="45"/>
        <v>2018-19</v>
      </c>
      <c r="G922" s="68"/>
      <c r="H922" s="167" t="s">
        <v>279</v>
      </c>
      <c r="I922" s="173">
        <v>89592.114709699614</v>
      </c>
      <c r="J922" s="168">
        <f>IFERROR(MIN('MP Calculations'!$E$30/I922,1),"-")</f>
        <v>0.31014580161562261</v>
      </c>
      <c r="K922" s="12"/>
      <c r="L922" s="159">
        <v>1</v>
      </c>
      <c r="M922" s="159" t="s">
        <v>409</v>
      </c>
      <c r="N922" s="159">
        <v>28631.08</v>
      </c>
      <c r="O922" s="185">
        <f t="shared" si="46"/>
        <v>28631.08</v>
      </c>
      <c r="P922" s="215">
        <f t="shared" si="47"/>
        <v>8879.8092577210209</v>
      </c>
      <c r="Q922" s="215" cm="1">
        <f t="array" ref="Q922">IF(P922="-",0,P922/(1+'General inputs'!$H$32)^IFERROR(INDEX('MP Calculations'!$C$40:$C$130,MATCH(F922,'MP Calculations'!$D$40:$D$130,0),0),-1))</f>
        <v>10468.260294701968</v>
      </c>
    </row>
    <row r="923" spans="3:17" x14ac:dyDescent="0.25">
      <c r="C923" s="159"/>
      <c r="D923" s="165" t="s">
        <v>283</v>
      </c>
      <c r="E923" s="161">
        <v>43391</v>
      </c>
      <c r="F923" s="172" t="str">
        <f t="shared" si="45"/>
        <v>2018-19</v>
      </c>
      <c r="G923" s="68"/>
      <c r="H923" s="167" t="s">
        <v>279</v>
      </c>
      <c r="I923" s="173">
        <v>89592.114709699614</v>
      </c>
      <c r="J923" s="168">
        <f>IFERROR(MIN('MP Calculations'!$E$30/I923,1),"-")</f>
        <v>0.31014580161562261</v>
      </c>
      <c r="K923" s="12"/>
      <c r="L923" s="159">
        <v>38.524873999999997</v>
      </c>
      <c r="M923" s="159" t="s">
        <v>408</v>
      </c>
      <c r="N923" s="159">
        <v>622</v>
      </c>
      <c r="O923" s="185">
        <f t="shared" si="46"/>
        <v>23962.471627999999</v>
      </c>
      <c r="P923" s="215">
        <f t="shared" si="47"/>
        <v>7431.8599717576735</v>
      </c>
      <c r="Q923" s="215" cm="1">
        <f t="array" ref="Q923">IF(P923="-",0,P923/(1+'General inputs'!$H$32)^IFERROR(INDEX('MP Calculations'!$C$40:$C$130,MATCH(F923,'MP Calculations'!$D$40:$D$130,0),0),-1))</f>
        <v>8761.2968252093469</v>
      </c>
    </row>
    <row r="924" spans="3:17" x14ac:dyDescent="0.25">
      <c r="C924" s="159"/>
      <c r="D924" s="165" t="s">
        <v>283</v>
      </c>
      <c r="E924" s="161">
        <v>43391</v>
      </c>
      <c r="F924" s="172" t="str">
        <f t="shared" si="45"/>
        <v>2018-19</v>
      </c>
      <c r="G924" s="68"/>
      <c r="H924" s="167" t="s">
        <v>279</v>
      </c>
      <c r="I924" s="173">
        <v>89592.114709699614</v>
      </c>
      <c r="J924" s="168">
        <f>IFERROR(MIN('MP Calculations'!$E$30/I924,1),"-")</f>
        <v>0.31014580161562261</v>
      </c>
      <c r="K924" s="12"/>
      <c r="L924" s="159">
        <v>3.1399720000000002</v>
      </c>
      <c r="M924" s="159" t="s">
        <v>408</v>
      </c>
      <c r="N924" s="159">
        <v>622</v>
      </c>
      <c r="O924" s="185">
        <f t="shared" si="46"/>
        <v>1953.0625840000002</v>
      </c>
      <c r="P924" s="215">
        <f t="shared" si="47"/>
        <v>605.73416072015937</v>
      </c>
      <c r="Q924" s="215" cm="1">
        <f t="array" ref="Q924">IF(P924="-",0,P924/(1+'General inputs'!$H$32)^IFERROR(INDEX('MP Calculations'!$C$40:$C$130,MATCH(F924,'MP Calculations'!$D$40:$D$130,0),0),-1))</f>
        <v>714.08998546877126</v>
      </c>
    </row>
    <row r="925" spans="3:17" x14ac:dyDescent="0.25">
      <c r="C925" s="159"/>
      <c r="D925" s="165" t="s">
        <v>283</v>
      </c>
      <c r="E925" s="161">
        <v>43391</v>
      </c>
      <c r="F925" s="172" t="str">
        <f t="shared" si="45"/>
        <v>2018-19</v>
      </c>
      <c r="G925" s="68"/>
      <c r="H925" s="167" t="s">
        <v>279</v>
      </c>
      <c r="I925" s="173">
        <v>89592.114709699614</v>
      </c>
      <c r="J925" s="168">
        <f>IFERROR(MIN('MP Calculations'!$E$30/I925,1),"-")</f>
        <v>0.31014580161562261</v>
      </c>
      <c r="K925" s="12"/>
      <c r="L925" s="159">
        <v>6.1150840000000004</v>
      </c>
      <c r="M925" s="159" t="s">
        <v>408</v>
      </c>
      <c r="N925" s="159">
        <v>622</v>
      </c>
      <c r="O925" s="185">
        <f t="shared" si="46"/>
        <v>3803.5822480000002</v>
      </c>
      <c r="P925" s="215">
        <f t="shared" si="47"/>
        <v>1179.665065316912</v>
      </c>
      <c r="Q925" s="215" cm="1">
        <f t="array" ref="Q925">IF(P925="-",0,P925/(1+'General inputs'!$H$32)^IFERROR(INDEX('MP Calculations'!$C$40:$C$130,MATCH(F925,'MP Calculations'!$D$40:$D$130,0),0),-1))</f>
        <v>1390.6876382019698</v>
      </c>
    </row>
    <row r="926" spans="3:17" x14ac:dyDescent="0.25">
      <c r="C926" s="159"/>
      <c r="D926" s="165" t="s">
        <v>283</v>
      </c>
      <c r="E926" s="161">
        <v>43391</v>
      </c>
      <c r="F926" s="172" t="str">
        <f t="shared" si="45"/>
        <v>2018-19</v>
      </c>
      <c r="G926" s="68"/>
      <c r="H926" s="167" t="s">
        <v>279</v>
      </c>
      <c r="I926" s="173">
        <v>89592.114709699614</v>
      </c>
      <c r="J926" s="168">
        <f>IFERROR(MIN('MP Calculations'!$E$30/I926,1),"-")</f>
        <v>0.31014580161562261</v>
      </c>
      <c r="K926" s="12"/>
      <c r="L926" s="159">
        <v>20.276729</v>
      </c>
      <c r="M926" s="159" t="s">
        <v>408</v>
      </c>
      <c r="N926" s="159">
        <v>622</v>
      </c>
      <c r="O926" s="185">
        <f t="shared" si="46"/>
        <v>12612.125437999999</v>
      </c>
      <c r="P926" s="215">
        <f t="shared" si="47"/>
        <v>3911.597754045295</v>
      </c>
      <c r="Q926" s="215" cm="1">
        <f t="array" ref="Q926">IF(P926="-",0,P926/(1+'General inputs'!$H$32)^IFERROR(INDEX('MP Calculations'!$C$40:$C$130,MATCH(F926,'MP Calculations'!$D$40:$D$130,0),0),-1))</f>
        <v>4611.3179088744137</v>
      </c>
    </row>
    <row r="927" spans="3:17" x14ac:dyDescent="0.25">
      <c r="C927" s="159"/>
      <c r="D927" s="165" t="s">
        <v>283</v>
      </c>
      <c r="E927" s="161">
        <v>43391</v>
      </c>
      <c r="F927" s="172" t="str">
        <f t="shared" si="45"/>
        <v>2018-19</v>
      </c>
      <c r="G927" s="68"/>
      <c r="H927" s="167" t="s">
        <v>279</v>
      </c>
      <c r="I927" s="173">
        <v>89592.114709699614</v>
      </c>
      <c r="J927" s="168">
        <f>IFERROR(MIN('MP Calculations'!$E$30/I927,1),"-")</f>
        <v>0.31014580161562261</v>
      </c>
      <c r="K927" s="12"/>
      <c r="L927" s="159">
        <v>40.208423000000003</v>
      </c>
      <c r="M927" s="159" t="s">
        <v>408</v>
      </c>
      <c r="N927" s="159">
        <v>622</v>
      </c>
      <c r="O927" s="185">
        <f t="shared" si="46"/>
        <v>25009.639106000002</v>
      </c>
      <c r="P927" s="215">
        <f t="shared" si="47"/>
        <v>7756.6345686477935</v>
      </c>
      <c r="Q927" s="215" cm="1">
        <f t="array" ref="Q927">IF(P927="-",0,P927/(1+'General inputs'!$H$32)^IFERROR(INDEX('MP Calculations'!$C$40:$C$130,MATCH(F927,'MP Calculations'!$D$40:$D$130,0),0),-1))</f>
        <v>9144.1682269116427</v>
      </c>
    </row>
    <row r="928" spans="3:17" x14ac:dyDescent="0.25">
      <c r="C928" s="159"/>
      <c r="D928" s="165" t="s">
        <v>283</v>
      </c>
      <c r="E928" s="161">
        <v>43391</v>
      </c>
      <c r="F928" s="172" t="str">
        <f t="shared" si="45"/>
        <v>2018-19</v>
      </c>
      <c r="G928" s="68"/>
      <c r="H928" s="167" t="s">
        <v>279</v>
      </c>
      <c r="I928" s="173">
        <v>89592.114709699614</v>
      </c>
      <c r="J928" s="168">
        <f>IFERROR(MIN('MP Calculations'!$E$30/I928,1),"-")</f>
        <v>0.31014580161562261</v>
      </c>
      <c r="K928" s="12"/>
      <c r="L928" s="159">
        <v>22.520909</v>
      </c>
      <c r="M928" s="159" t="s">
        <v>408</v>
      </c>
      <c r="N928" s="159">
        <v>622</v>
      </c>
      <c r="O928" s="185">
        <f t="shared" si="46"/>
        <v>14008.005397999999</v>
      </c>
      <c r="P928" s="215">
        <f t="shared" si="47"/>
        <v>4344.524063198678</v>
      </c>
      <c r="Q928" s="215" cm="1">
        <f t="array" ref="Q928">IF(P928="-",0,P928/(1+'General inputs'!$H$32)^IFERROR(INDEX('MP Calculations'!$C$40:$C$130,MATCH(F928,'MP Calculations'!$D$40:$D$130,0),0),-1))</f>
        <v>5121.6875757342796</v>
      </c>
    </row>
    <row r="929" spans="3:17" x14ac:dyDescent="0.25">
      <c r="C929" s="159"/>
      <c r="D929" s="165" t="s">
        <v>283</v>
      </c>
      <c r="E929" s="161">
        <v>43391</v>
      </c>
      <c r="F929" s="172" t="str">
        <f t="shared" si="45"/>
        <v>2018-19</v>
      </c>
      <c r="G929" s="68"/>
      <c r="H929" s="167" t="s">
        <v>279</v>
      </c>
      <c r="I929" s="173">
        <v>89592.114709699614</v>
      </c>
      <c r="J929" s="168">
        <f>IFERROR(MIN('MP Calculations'!$E$30/I929,1),"-")</f>
        <v>0.31014580161562261</v>
      </c>
      <c r="K929" s="12"/>
      <c r="L929" s="159">
        <v>37.989426999999999</v>
      </c>
      <c r="M929" s="159" t="s">
        <v>408</v>
      </c>
      <c r="N929" s="159">
        <v>622</v>
      </c>
      <c r="O929" s="185">
        <f t="shared" si="46"/>
        <v>23629.423594</v>
      </c>
      <c r="P929" s="215">
        <f t="shared" si="47"/>
        <v>7328.5665222762364</v>
      </c>
      <c r="Q929" s="215" cm="1">
        <f t="array" ref="Q929">IF(P929="-",0,P929/(1+'General inputs'!$H$32)^IFERROR(INDEX('MP Calculations'!$C$40:$C$130,MATCH(F929,'MP Calculations'!$D$40:$D$130,0),0),-1))</f>
        <v>8639.5258857075623</v>
      </c>
    </row>
    <row r="930" spans="3:17" x14ac:dyDescent="0.25">
      <c r="C930" s="159"/>
      <c r="D930" s="165" t="s">
        <v>283</v>
      </c>
      <c r="E930" s="161">
        <v>43391</v>
      </c>
      <c r="F930" s="172" t="str">
        <f t="shared" si="45"/>
        <v>2018-19</v>
      </c>
      <c r="G930" s="68"/>
      <c r="H930" s="167" t="s">
        <v>279</v>
      </c>
      <c r="I930" s="173">
        <v>89592.114709699614</v>
      </c>
      <c r="J930" s="168">
        <f>IFERROR(MIN('MP Calculations'!$E$30/I930,1),"-")</f>
        <v>0.31014580161562261</v>
      </c>
      <c r="K930" s="12"/>
      <c r="L930" s="159">
        <v>2.5789399999999998</v>
      </c>
      <c r="M930" s="159" t="s">
        <v>408</v>
      </c>
      <c r="N930" s="159">
        <v>622</v>
      </c>
      <c r="O930" s="185">
        <f t="shared" si="46"/>
        <v>1604.1006799999998</v>
      </c>
      <c r="P930" s="215">
        <f t="shared" si="47"/>
        <v>497.50509127076526</v>
      </c>
      <c r="Q930" s="215" cm="1">
        <f t="array" ref="Q930">IF(P930="-",0,P930/(1+'General inputs'!$H$32)^IFERROR(INDEX('MP Calculations'!$C$40:$C$130,MATCH(F930,'MP Calculations'!$D$40:$D$130,0),0),-1))</f>
        <v>586.50052520367456</v>
      </c>
    </row>
    <row r="931" spans="3:17" x14ac:dyDescent="0.25">
      <c r="C931" s="159"/>
      <c r="D931" s="165" t="s">
        <v>283</v>
      </c>
      <c r="E931" s="161">
        <v>43391</v>
      </c>
      <c r="F931" s="172" t="str">
        <f t="shared" si="45"/>
        <v>2018-19</v>
      </c>
      <c r="G931" s="68"/>
      <c r="H931" s="167" t="s">
        <v>279</v>
      </c>
      <c r="I931" s="173">
        <v>89592.114709699614</v>
      </c>
      <c r="J931" s="168">
        <f>IFERROR(MIN('MP Calculations'!$E$30/I931,1),"-")</f>
        <v>0.31014580161562261</v>
      </c>
      <c r="K931" s="12"/>
      <c r="L931" s="159">
        <v>1.506958</v>
      </c>
      <c r="M931" s="159" t="s">
        <v>408</v>
      </c>
      <c r="N931" s="159">
        <v>622</v>
      </c>
      <c r="O931" s="185">
        <f t="shared" si="46"/>
        <v>937.32787600000006</v>
      </c>
      <c r="P931" s="215">
        <f t="shared" si="47"/>
        <v>290.70830547868894</v>
      </c>
      <c r="Q931" s="215" cm="1">
        <f t="array" ref="Q931">IF(P931="-",0,P931/(1+'General inputs'!$H$32)^IFERROR(INDEX('MP Calculations'!$C$40:$C$130,MATCH(F931,'MP Calculations'!$D$40:$D$130,0),0),-1))</f>
        <v>342.7112140879118</v>
      </c>
    </row>
    <row r="932" spans="3:17" x14ac:dyDescent="0.25">
      <c r="C932" s="159"/>
      <c r="D932" s="165" t="s">
        <v>283</v>
      </c>
      <c r="E932" s="161">
        <v>43391</v>
      </c>
      <c r="F932" s="172" t="str">
        <f t="shared" si="45"/>
        <v>2018-19</v>
      </c>
      <c r="G932" s="68"/>
      <c r="H932" s="167" t="s">
        <v>279</v>
      </c>
      <c r="I932" s="173">
        <v>89592.114709699614</v>
      </c>
      <c r="J932" s="168">
        <f>IFERROR(MIN('MP Calculations'!$E$30/I932,1),"-")</f>
        <v>0.31014580161562261</v>
      </c>
      <c r="K932" s="12"/>
      <c r="L932" s="159">
        <v>1.4215899999999999</v>
      </c>
      <c r="M932" s="159" t="s">
        <v>408</v>
      </c>
      <c r="N932" s="159">
        <v>622</v>
      </c>
      <c r="O932" s="185">
        <f t="shared" si="46"/>
        <v>884.22897999999998</v>
      </c>
      <c r="P932" s="215">
        <f t="shared" si="47"/>
        <v>274.23990581386431</v>
      </c>
      <c r="Q932" s="215" cm="1">
        <f t="array" ref="Q932">IF(P932="-",0,P932/(1+'General inputs'!$H$32)^IFERROR(INDEX('MP Calculations'!$C$40:$C$130,MATCH(F932,'MP Calculations'!$D$40:$D$130,0),0),-1))</f>
        <v>323.29689004951331</v>
      </c>
    </row>
    <row r="933" spans="3:17" x14ac:dyDescent="0.25">
      <c r="C933" s="159"/>
      <c r="D933" s="165" t="s">
        <v>283</v>
      </c>
      <c r="E933" s="161">
        <v>43391</v>
      </c>
      <c r="F933" s="172" t="str">
        <f t="shared" si="45"/>
        <v>2018-19</v>
      </c>
      <c r="G933" s="68"/>
      <c r="H933" s="167" t="s">
        <v>279</v>
      </c>
      <c r="I933" s="173">
        <v>89592.114709699614</v>
      </c>
      <c r="J933" s="168">
        <f>IFERROR(MIN('MP Calculations'!$E$30/I933,1),"-")</f>
        <v>0.31014580161562261</v>
      </c>
      <c r="K933" s="12"/>
      <c r="L933" s="159">
        <v>24.826177999999999</v>
      </c>
      <c r="M933" s="159" t="s">
        <v>408</v>
      </c>
      <c r="N933" s="159">
        <v>622</v>
      </c>
      <c r="O933" s="185">
        <f t="shared" si="46"/>
        <v>15441.882716</v>
      </c>
      <c r="P933" s="215">
        <f t="shared" si="47"/>
        <v>4789.2350934082478</v>
      </c>
      <c r="Q933" s="215" cm="1">
        <f t="array" ref="Q933">IF(P933="-",0,P933/(1+'General inputs'!$H$32)^IFERROR(INDEX('MP Calculations'!$C$40:$C$130,MATCH(F933,'MP Calculations'!$D$40:$D$130,0),0),-1))</f>
        <v>5645.9500553715534</v>
      </c>
    </row>
    <row r="934" spans="3:17" x14ac:dyDescent="0.25">
      <c r="C934" s="159"/>
      <c r="D934" s="165" t="s">
        <v>283</v>
      </c>
      <c r="E934" s="161">
        <v>43391</v>
      </c>
      <c r="F934" s="172" t="str">
        <f t="shared" si="45"/>
        <v>2018-19</v>
      </c>
      <c r="G934" s="68"/>
      <c r="H934" s="167" t="s">
        <v>279</v>
      </c>
      <c r="I934" s="173">
        <v>89592.114709699614</v>
      </c>
      <c r="J934" s="168">
        <f>IFERROR(MIN('MP Calculations'!$E$30/I934,1),"-")</f>
        <v>0.31014580161562261</v>
      </c>
      <c r="K934" s="12"/>
      <c r="L934" s="159">
        <v>20.834567</v>
      </c>
      <c r="M934" s="159" t="s">
        <v>408</v>
      </c>
      <c r="N934" s="159">
        <v>622</v>
      </c>
      <c r="O934" s="185">
        <f t="shared" si="46"/>
        <v>12959.100673999999</v>
      </c>
      <c r="P934" s="215">
        <f t="shared" si="47"/>
        <v>4019.2106667552848</v>
      </c>
      <c r="Q934" s="215" cm="1">
        <f t="array" ref="Q934">IF(P934="-",0,P934/(1+'General inputs'!$H$32)^IFERROR(INDEX('MP Calculations'!$C$40:$C$130,MATCH(F934,'MP Calculations'!$D$40:$D$130,0),0),-1))</f>
        <v>4738.1809921483818</v>
      </c>
    </row>
    <row r="935" spans="3:17" x14ac:dyDescent="0.25">
      <c r="C935" s="159"/>
      <c r="D935" s="165" t="s">
        <v>283</v>
      </c>
      <c r="E935" s="161">
        <v>43391</v>
      </c>
      <c r="F935" s="172" t="str">
        <f t="shared" si="45"/>
        <v>2018-19</v>
      </c>
      <c r="G935" s="68"/>
      <c r="H935" s="167" t="s">
        <v>279</v>
      </c>
      <c r="I935" s="173">
        <v>89592.114709699614</v>
      </c>
      <c r="J935" s="168">
        <f>IFERROR(MIN('MP Calculations'!$E$30/I935,1),"-")</f>
        <v>0.31014580161562261</v>
      </c>
      <c r="K935" s="12"/>
      <c r="L935" s="159">
        <v>3.4243459999999999</v>
      </c>
      <c r="M935" s="159" t="s">
        <v>408</v>
      </c>
      <c r="N935" s="159">
        <v>622</v>
      </c>
      <c r="O935" s="185">
        <f t="shared" si="46"/>
        <v>2129.9432120000001</v>
      </c>
      <c r="P935" s="215">
        <f t="shared" si="47"/>
        <v>660.59294488149408</v>
      </c>
      <c r="Q935" s="215" cm="1">
        <f t="array" ref="Q935">IF(P935="-",0,P935/(1+'General inputs'!$H$32)^IFERROR(INDEX('MP Calculations'!$C$40:$C$130,MATCH(F935,'MP Calculations'!$D$40:$D$130,0),0),-1))</f>
        <v>778.76209895503689</v>
      </c>
    </row>
    <row r="936" spans="3:17" x14ac:dyDescent="0.25">
      <c r="C936" s="159"/>
      <c r="D936" s="165" t="s">
        <v>283</v>
      </c>
      <c r="E936" s="161">
        <v>43391</v>
      </c>
      <c r="F936" s="172" t="str">
        <f t="shared" si="45"/>
        <v>2018-19</v>
      </c>
      <c r="G936" s="68"/>
      <c r="H936" s="167" t="s">
        <v>279</v>
      </c>
      <c r="I936" s="173">
        <v>89592.114709699614</v>
      </c>
      <c r="J936" s="168">
        <f>IFERROR(MIN('MP Calculations'!$E$30/I936,1),"-")</f>
        <v>0.31014580161562261</v>
      </c>
      <c r="K936" s="12"/>
      <c r="L936" s="159">
        <v>10.140237000000001</v>
      </c>
      <c r="M936" s="159" t="s">
        <v>408</v>
      </c>
      <c r="N936" s="159">
        <v>622</v>
      </c>
      <c r="O936" s="185">
        <f t="shared" si="46"/>
        <v>6307.2274140000009</v>
      </c>
      <c r="P936" s="215">
        <f t="shared" si="47"/>
        <v>1956.1601022870607</v>
      </c>
      <c r="Q936" s="215" cm="1">
        <f t="array" ref="Q936">IF(P936="-",0,P936/(1+'General inputs'!$H$32)^IFERROR(INDEX('MP Calculations'!$C$40:$C$130,MATCH(F936,'MP Calculations'!$D$40:$D$130,0),0),-1))</f>
        <v>2306.0847969280926</v>
      </c>
    </row>
    <row r="937" spans="3:17" x14ac:dyDescent="0.25">
      <c r="C937" s="159"/>
      <c r="D937" s="165" t="s">
        <v>283</v>
      </c>
      <c r="E937" s="161">
        <v>43391</v>
      </c>
      <c r="F937" s="172" t="str">
        <f t="shared" si="45"/>
        <v>2018-19</v>
      </c>
      <c r="G937" s="68"/>
      <c r="H937" s="167" t="s">
        <v>279</v>
      </c>
      <c r="I937" s="173">
        <v>89592.114709699614</v>
      </c>
      <c r="J937" s="168">
        <f>IFERROR(MIN('MP Calculations'!$E$30/I937,1),"-")</f>
        <v>0.31014580161562261</v>
      </c>
      <c r="K937" s="12"/>
      <c r="L937" s="159">
        <v>4.0040740000000001</v>
      </c>
      <c r="M937" s="159" t="s">
        <v>408</v>
      </c>
      <c r="N937" s="159">
        <v>622</v>
      </c>
      <c r="O937" s="185">
        <f t="shared" si="46"/>
        <v>2490.534028</v>
      </c>
      <c r="P937" s="215">
        <f t="shared" si="47"/>
        <v>772.42867256504553</v>
      </c>
      <c r="Q937" s="215" cm="1">
        <f t="array" ref="Q937">IF(P937="-",0,P937/(1+'General inputs'!$H$32)^IFERROR(INDEX('MP Calculations'!$C$40:$C$130,MATCH(F937,'MP Calculations'!$D$40:$D$130,0),0),-1))</f>
        <v>910.60338897158465</v>
      </c>
    </row>
    <row r="938" spans="3:17" x14ac:dyDescent="0.25">
      <c r="C938" s="159"/>
      <c r="D938" s="165" t="s">
        <v>283</v>
      </c>
      <c r="E938" s="161">
        <v>43391</v>
      </c>
      <c r="F938" s="172" t="str">
        <f t="shared" si="45"/>
        <v>2018-19</v>
      </c>
      <c r="G938" s="68"/>
      <c r="H938" s="167" t="s">
        <v>279</v>
      </c>
      <c r="I938" s="173">
        <v>89592.114709699614</v>
      </c>
      <c r="J938" s="168">
        <f>IFERROR(MIN('MP Calculations'!$E$30/I938,1),"-")</f>
        <v>0.31014580161562261</v>
      </c>
      <c r="K938" s="12"/>
      <c r="L938" s="159">
        <v>3.326422</v>
      </c>
      <c r="M938" s="159" t="s">
        <v>408</v>
      </c>
      <c r="N938" s="159">
        <v>622</v>
      </c>
      <c r="O938" s="185">
        <f t="shared" si="46"/>
        <v>2069.0344839999998</v>
      </c>
      <c r="P938" s="215">
        <f t="shared" si="47"/>
        <v>641.70235861054607</v>
      </c>
      <c r="Q938" s="215" cm="1">
        <f t="array" ref="Q938">IF(P938="-",0,P938/(1+'General inputs'!$H$32)^IFERROR(INDEX('MP Calculations'!$C$40:$C$130,MATCH(F938,'MP Calculations'!$D$40:$D$130,0),0),-1))</f>
        <v>756.49229918069352</v>
      </c>
    </row>
    <row r="939" spans="3:17" x14ac:dyDescent="0.25">
      <c r="C939" s="159"/>
      <c r="D939" s="165" t="s">
        <v>283</v>
      </c>
      <c r="E939" s="161">
        <v>43391</v>
      </c>
      <c r="F939" s="172" t="str">
        <f t="shared" si="45"/>
        <v>2018-19</v>
      </c>
      <c r="G939" s="68"/>
      <c r="H939" s="167" t="s">
        <v>279</v>
      </c>
      <c r="I939" s="173">
        <v>89592.114709699614</v>
      </c>
      <c r="J939" s="168">
        <f>IFERROR(MIN('MP Calculations'!$E$30/I939,1),"-")</f>
        <v>0.31014580161562261</v>
      </c>
      <c r="K939" s="12"/>
      <c r="L939" s="159">
        <v>17.930398</v>
      </c>
      <c r="M939" s="159" t="s">
        <v>408</v>
      </c>
      <c r="N939" s="159">
        <v>622</v>
      </c>
      <c r="O939" s="185">
        <f t="shared" si="46"/>
        <v>11152.707555999999</v>
      </c>
      <c r="P939" s="215">
        <f t="shared" si="47"/>
        <v>3458.9654251402312</v>
      </c>
      <c r="Q939" s="215" cm="1">
        <f t="array" ref="Q939">IF(P939="-",0,P939/(1+'General inputs'!$H$32)^IFERROR(INDEX('MP Calculations'!$C$40:$C$130,MATCH(F939,'MP Calculations'!$D$40:$D$130,0),0),-1))</f>
        <v>4077.7171411940244</v>
      </c>
    </row>
    <row r="940" spans="3:17" x14ac:dyDescent="0.25">
      <c r="C940" s="159"/>
      <c r="D940" s="165" t="s">
        <v>918</v>
      </c>
      <c r="E940" s="161">
        <v>43409</v>
      </c>
      <c r="F940" s="172" t="str">
        <f t="shared" si="45"/>
        <v>2018-19</v>
      </c>
      <c r="G940" s="68"/>
      <c r="H940" s="167" t="s">
        <v>279</v>
      </c>
      <c r="I940" s="173">
        <v>89592.114709699614</v>
      </c>
      <c r="J940" s="168">
        <f>IFERROR(MIN('MP Calculations'!$E$30/I940,1),"-")</f>
        <v>0.31014580161562261</v>
      </c>
      <c r="K940" s="12"/>
      <c r="L940" s="159">
        <v>1</v>
      </c>
      <c r="M940" s="159" t="s">
        <v>409</v>
      </c>
      <c r="N940" s="159">
        <v>19311.05</v>
      </c>
      <c r="O940" s="185">
        <f t="shared" si="46"/>
        <v>19311.05</v>
      </c>
      <c r="P940" s="215">
        <f t="shared" si="47"/>
        <v>5989.2410822893689</v>
      </c>
      <c r="Q940" s="215" cm="1">
        <f t="array" ref="Q940">IF(P940="-",0,P940/(1+'General inputs'!$H$32)^IFERROR(INDEX('MP Calculations'!$C$40:$C$130,MATCH(F940,'MP Calculations'!$D$40:$D$130,0),0),-1))</f>
        <v>7060.6172719996739</v>
      </c>
    </row>
    <row r="941" spans="3:17" x14ac:dyDescent="0.25">
      <c r="C941" s="159"/>
      <c r="D941" s="165" t="s">
        <v>919</v>
      </c>
      <c r="E941" s="161">
        <v>43409</v>
      </c>
      <c r="F941" s="172" t="str">
        <f t="shared" si="45"/>
        <v>2018-19</v>
      </c>
      <c r="G941" s="68"/>
      <c r="H941" s="167" t="s">
        <v>279</v>
      </c>
      <c r="I941" s="173">
        <v>89592.114709699614</v>
      </c>
      <c r="J941" s="168">
        <f>IFERROR(MIN('MP Calculations'!$E$30/I941,1),"-")</f>
        <v>0.31014580161562261</v>
      </c>
      <c r="K941" s="12"/>
      <c r="L941" s="159">
        <v>1</v>
      </c>
      <c r="M941" s="159" t="s">
        <v>409</v>
      </c>
      <c r="N941" s="159">
        <v>10191.81</v>
      </c>
      <c r="O941" s="185">
        <f t="shared" si="46"/>
        <v>10191.81</v>
      </c>
      <c r="P941" s="215">
        <f t="shared" si="47"/>
        <v>3160.9470823641186</v>
      </c>
      <c r="Q941" s="215" cm="1">
        <f t="array" ref="Q941">IF(P941="-",0,P941/(1+'General inputs'!$H$32)^IFERROR(INDEX('MP Calculations'!$C$40:$C$130,MATCH(F941,'MP Calculations'!$D$40:$D$130,0),0),-1))</f>
        <v>3726.3882450171791</v>
      </c>
    </row>
    <row r="942" spans="3:17" x14ac:dyDescent="0.25">
      <c r="C942" s="159"/>
      <c r="D942" s="165" t="s">
        <v>874</v>
      </c>
      <c r="E942" s="161">
        <v>43426</v>
      </c>
      <c r="F942" s="172" t="str">
        <f t="shared" si="45"/>
        <v>2018-19</v>
      </c>
      <c r="G942" s="68"/>
      <c r="H942" s="167" t="s">
        <v>279</v>
      </c>
      <c r="I942" s="173">
        <v>89592.114709699614</v>
      </c>
      <c r="J942" s="168">
        <f>IFERROR(MIN('MP Calculations'!$E$30/I942,1),"-")</f>
        <v>0.31014580161562261</v>
      </c>
      <c r="K942" s="12"/>
      <c r="L942" s="159">
        <v>1</v>
      </c>
      <c r="M942" s="159" t="s">
        <v>409</v>
      </c>
      <c r="N942" s="159">
        <v>22548.76</v>
      </c>
      <c r="O942" s="185">
        <f t="shared" si="46"/>
        <v>22548.76</v>
      </c>
      <c r="P942" s="215">
        <f t="shared" si="47"/>
        <v>6993.4032456382856</v>
      </c>
      <c r="Q942" s="215" cm="1">
        <f t="array" ref="Q942">IF(P942="-",0,P942/(1+'General inputs'!$H$32)^IFERROR(INDEX('MP Calculations'!$C$40:$C$130,MATCH(F942,'MP Calculations'!$D$40:$D$130,0),0),-1))</f>
        <v>8244.4074412409136</v>
      </c>
    </row>
    <row r="943" spans="3:17" x14ac:dyDescent="0.25">
      <c r="C943" s="159"/>
      <c r="D943" s="165" t="s">
        <v>920</v>
      </c>
      <c r="E943" s="161">
        <v>43433</v>
      </c>
      <c r="F943" s="172" t="str">
        <f t="shared" si="45"/>
        <v>2018-19</v>
      </c>
      <c r="G943" s="68"/>
      <c r="H943" s="167" t="s">
        <v>279</v>
      </c>
      <c r="I943" s="173">
        <v>89592.114709699614</v>
      </c>
      <c r="J943" s="168">
        <f>IFERROR(MIN('MP Calculations'!$E$30/I943,1),"-")</f>
        <v>0.31014580161562261</v>
      </c>
      <c r="K943" s="12"/>
      <c r="L943" s="159">
        <v>1</v>
      </c>
      <c r="M943" s="159" t="s">
        <v>409</v>
      </c>
      <c r="N943" s="159">
        <v>124.55</v>
      </c>
      <c r="O943" s="185">
        <f t="shared" si="46"/>
        <v>124.55</v>
      </c>
      <c r="P943" s="215">
        <f t="shared" si="47"/>
        <v>38.628659591225798</v>
      </c>
      <c r="Q943" s="215" cm="1">
        <f t="array" ref="Q943">IF(P943="-",0,P943/(1+'General inputs'!$H$32)^IFERROR(INDEX('MP Calculations'!$C$40:$C$130,MATCH(F943,'MP Calculations'!$D$40:$D$130,0),0),-1))</f>
        <v>45.538688016837995</v>
      </c>
    </row>
    <row r="944" spans="3:17" x14ac:dyDescent="0.25">
      <c r="C944" s="159"/>
      <c r="D944" s="165" t="s">
        <v>921</v>
      </c>
      <c r="E944" s="161">
        <v>43437</v>
      </c>
      <c r="F944" s="172" t="str">
        <f t="shared" si="45"/>
        <v>2018-19</v>
      </c>
      <c r="G944" s="68"/>
      <c r="H944" s="167" t="s">
        <v>279</v>
      </c>
      <c r="I944" s="173">
        <v>89592.114709699614</v>
      </c>
      <c r="J944" s="168">
        <f>IFERROR(MIN('MP Calculations'!$E$30/I944,1),"-")</f>
        <v>0.31014580161562261</v>
      </c>
      <c r="K944" s="12"/>
      <c r="L944" s="159">
        <v>1</v>
      </c>
      <c r="M944" s="159" t="s">
        <v>409</v>
      </c>
      <c r="N944" s="159">
        <v>59312.43</v>
      </c>
      <c r="O944" s="185">
        <f t="shared" si="46"/>
        <v>59312.43</v>
      </c>
      <c r="P944" s="215">
        <f t="shared" si="47"/>
        <v>18395.501148120504</v>
      </c>
      <c r="Q944" s="215" cm="1">
        <f t="array" ref="Q944">IF(P944="-",0,P944/(1+'General inputs'!$H$32)^IFERROR(INDEX('MP Calculations'!$C$40:$C$130,MATCH(F944,'MP Calculations'!$D$40:$D$130,0),0),-1))</f>
        <v>21686.152109920051</v>
      </c>
    </row>
    <row r="945" spans="3:17" x14ac:dyDescent="0.25">
      <c r="C945" s="159"/>
      <c r="D945" s="165" t="s">
        <v>922</v>
      </c>
      <c r="E945" s="161">
        <v>43483</v>
      </c>
      <c r="F945" s="172" t="str">
        <f t="shared" si="45"/>
        <v>2018-19</v>
      </c>
      <c r="G945" s="68"/>
      <c r="H945" s="167" t="s">
        <v>279</v>
      </c>
      <c r="I945" s="173">
        <v>89592.114709699614</v>
      </c>
      <c r="J945" s="168">
        <f>IFERROR(MIN('MP Calculations'!$E$30/I945,1),"-")</f>
        <v>0.31014580161562261</v>
      </c>
      <c r="K945" s="12"/>
      <c r="L945" s="159">
        <v>1</v>
      </c>
      <c r="M945" s="159" t="s">
        <v>409</v>
      </c>
      <c r="N945" s="159">
        <v>24404.240000000002</v>
      </c>
      <c r="O945" s="185">
        <f t="shared" si="46"/>
        <v>24404.240000000002</v>
      </c>
      <c r="P945" s="215">
        <f t="shared" si="47"/>
        <v>7568.8725776200426</v>
      </c>
      <c r="Q945" s="215" cm="1">
        <f t="array" ref="Q945">IF(P945="-",0,P945/(1+'General inputs'!$H$32)^IFERROR(INDEX('MP Calculations'!$C$40:$C$130,MATCH(F945,'MP Calculations'!$D$40:$D$130,0),0),-1))</f>
        <v>8922.8187205783906</v>
      </c>
    </row>
    <row r="946" spans="3:17" x14ac:dyDescent="0.25">
      <c r="C946" s="159"/>
      <c r="D946" s="165" t="s">
        <v>286</v>
      </c>
      <c r="E946" s="161">
        <v>43497</v>
      </c>
      <c r="F946" s="172" t="str">
        <f t="shared" si="45"/>
        <v>2018-19</v>
      </c>
      <c r="G946" s="68"/>
      <c r="H946" s="167" t="s">
        <v>279</v>
      </c>
      <c r="I946" s="173">
        <v>89592.114709699614</v>
      </c>
      <c r="J946" s="168">
        <f>IFERROR(MIN('MP Calculations'!$E$30/I946,1),"-")</f>
        <v>0.31014580161562261</v>
      </c>
      <c r="K946" s="12"/>
      <c r="L946" s="159">
        <v>3.9999310000000001</v>
      </c>
      <c r="M946" s="159" t="s">
        <v>408</v>
      </c>
      <c r="N946" s="159">
        <v>350</v>
      </c>
      <c r="O946" s="185">
        <f t="shared" si="46"/>
        <v>1399.97585</v>
      </c>
      <c r="P946" s="215">
        <f t="shared" si="47"/>
        <v>434.19663224076265</v>
      </c>
      <c r="Q946" s="215" cm="1">
        <f t="array" ref="Q946">IF(P946="-",0,P946/(1+'General inputs'!$H$32)^IFERROR(INDEX('MP Calculations'!$C$40:$C$130,MATCH(F946,'MP Calculations'!$D$40:$D$130,0),0),-1))</f>
        <v>511.86722974112877</v>
      </c>
    </row>
    <row r="947" spans="3:17" x14ac:dyDescent="0.25">
      <c r="C947" s="159"/>
      <c r="D947" s="165" t="s">
        <v>923</v>
      </c>
      <c r="E947" s="161">
        <v>43586</v>
      </c>
      <c r="F947" s="172" t="str">
        <f t="shared" si="45"/>
        <v>2018-19</v>
      </c>
      <c r="G947" s="68"/>
      <c r="H947" s="167" t="s">
        <v>279</v>
      </c>
      <c r="I947" s="173">
        <v>89592.114709699614</v>
      </c>
      <c r="J947" s="168">
        <f>IFERROR(MIN('MP Calculations'!$E$30/I947,1),"-")</f>
        <v>0.31014580161562261</v>
      </c>
      <c r="K947" s="12"/>
      <c r="L947" s="159">
        <v>1</v>
      </c>
      <c r="M947" s="159" t="s">
        <v>409</v>
      </c>
      <c r="N947" s="159">
        <v>4237.7700000000004</v>
      </c>
      <c r="O947" s="185">
        <f t="shared" si="46"/>
        <v>4237.7700000000004</v>
      </c>
      <c r="P947" s="215">
        <f t="shared" si="47"/>
        <v>1314.3265737126371</v>
      </c>
      <c r="Q947" s="215" cm="1">
        <f t="array" ref="Q947">IF(P947="-",0,P947/(1+'General inputs'!$H$32)^IFERROR(INDEX('MP Calculations'!$C$40:$C$130,MATCH(F947,'MP Calculations'!$D$40:$D$130,0),0),-1))</f>
        <v>1549.4378636460503</v>
      </c>
    </row>
    <row r="948" spans="3:17" x14ac:dyDescent="0.25">
      <c r="C948" s="159"/>
      <c r="D948" s="165" t="s">
        <v>439</v>
      </c>
      <c r="E948" s="161">
        <v>43594</v>
      </c>
      <c r="F948" s="172" t="str">
        <f t="shared" si="45"/>
        <v>2018-19</v>
      </c>
      <c r="G948" s="68"/>
      <c r="H948" s="167" t="s">
        <v>279</v>
      </c>
      <c r="I948" s="173">
        <v>89592.114709699614</v>
      </c>
      <c r="J948" s="168">
        <f>IFERROR(MIN('MP Calculations'!$E$30/I948,1),"-")</f>
        <v>0.31014580161562261</v>
      </c>
      <c r="K948" s="12"/>
      <c r="L948" s="159">
        <v>1</v>
      </c>
      <c r="M948" s="159" t="s">
        <v>409</v>
      </c>
      <c r="N948" s="159">
        <v>38214.160000000003</v>
      </c>
      <c r="O948" s="185">
        <f t="shared" si="46"/>
        <v>38214.160000000003</v>
      </c>
      <c r="P948" s="215">
        <f t="shared" si="47"/>
        <v>11851.961286267662</v>
      </c>
      <c r="Q948" s="215" cm="1">
        <f t="array" ref="Q948">IF(P948="-",0,P948/(1+'General inputs'!$H$32)^IFERROR(INDEX('MP Calculations'!$C$40:$C$130,MATCH(F948,'MP Calculations'!$D$40:$D$130,0),0),-1))</f>
        <v>13972.081172746126</v>
      </c>
    </row>
    <row r="949" spans="3:17" x14ac:dyDescent="0.25">
      <c r="C949" s="159"/>
      <c r="D949" s="165" t="s">
        <v>924</v>
      </c>
      <c r="E949" s="161">
        <v>43646</v>
      </c>
      <c r="F949" s="172" t="str">
        <f t="shared" si="45"/>
        <v>2018-19</v>
      </c>
      <c r="G949" s="68"/>
      <c r="H949" s="167" t="s">
        <v>279</v>
      </c>
      <c r="I949" s="173">
        <v>89592.114709699614</v>
      </c>
      <c r="J949" s="168">
        <f>IFERROR(MIN('MP Calculations'!$E$30/I949,1),"-")</f>
        <v>0.31014580161562261</v>
      </c>
      <c r="K949" s="12"/>
      <c r="L949" s="159">
        <v>1</v>
      </c>
      <c r="M949" s="159" t="s">
        <v>409</v>
      </c>
      <c r="N949" s="159">
        <v>1163.25</v>
      </c>
      <c r="O949" s="185">
        <f t="shared" si="46"/>
        <v>1163.25</v>
      </c>
      <c r="P949" s="215">
        <f t="shared" si="47"/>
        <v>360.77710372937298</v>
      </c>
      <c r="Q949" s="215" cm="1">
        <f t="array" ref="Q949">IF(P949="-",0,P949/(1+'General inputs'!$H$32)^IFERROR(INDEX('MP Calculations'!$C$40:$C$130,MATCH(F949,'MP Calculations'!$D$40:$D$130,0),0),-1))</f>
        <v>425.31416166669447</v>
      </c>
    </row>
    <row r="950" spans="3:17" x14ac:dyDescent="0.25">
      <c r="C950" s="159"/>
      <c r="D950" s="165" t="s">
        <v>925</v>
      </c>
      <c r="E950" s="161">
        <v>43646</v>
      </c>
      <c r="F950" s="172" t="str">
        <f t="shared" si="45"/>
        <v>2018-19</v>
      </c>
      <c r="G950" s="68"/>
      <c r="H950" s="167" t="s">
        <v>279</v>
      </c>
      <c r="I950" s="173">
        <v>89592.114709699614</v>
      </c>
      <c r="J950" s="168">
        <f>IFERROR(MIN('MP Calculations'!$E$30/I950,1),"-")</f>
        <v>0.31014580161562261</v>
      </c>
      <c r="K950" s="12"/>
      <c r="L950" s="159">
        <v>1</v>
      </c>
      <c r="M950" s="159" t="s">
        <v>409</v>
      </c>
      <c r="N950" s="159">
        <v>2980.88</v>
      </c>
      <c r="O950" s="185">
        <f t="shared" si="46"/>
        <v>2980.88</v>
      </c>
      <c r="P950" s="215">
        <f t="shared" si="47"/>
        <v>924.50741711997716</v>
      </c>
      <c r="Q950" s="215" cm="1">
        <f t="array" ref="Q950">IF(P950="-",0,P950/(1+'General inputs'!$H$32)^IFERROR(INDEX('MP Calculations'!$C$40:$C$130,MATCH(F950,'MP Calculations'!$D$40:$D$130,0),0),-1))</f>
        <v>1089.8865061070417</v>
      </c>
    </row>
    <row r="951" spans="3:17" x14ac:dyDescent="0.25">
      <c r="C951" s="159"/>
      <c r="D951" s="165" t="s">
        <v>926</v>
      </c>
      <c r="E951" s="161">
        <v>43690</v>
      </c>
      <c r="F951" s="172" t="str">
        <f t="shared" si="45"/>
        <v>2019-20</v>
      </c>
      <c r="G951" s="68"/>
      <c r="H951" s="167" t="s">
        <v>279</v>
      </c>
      <c r="I951" s="173">
        <v>89592.114709699614</v>
      </c>
      <c r="J951" s="168">
        <f>IFERROR(MIN('MP Calculations'!$E$30/I951,1),"-")</f>
        <v>0.31014580161562261</v>
      </c>
      <c r="K951" s="12"/>
      <c r="L951" s="159">
        <v>1</v>
      </c>
      <c r="M951" s="159" t="s">
        <v>409</v>
      </c>
      <c r="N951" s="159">
        <v>3021.35</v>
      </c>
      <c r="O951" s="185">
        <f t="shared" si="46"/>
        <v>3021.35</v>
      </c>
      <c r="P951" s="215">
        <f t="shared" si="47"/>
        <v>937.05901771136132</v>
      </c>
      <c r="Q951" s="215" cm="1">
        <f t="array" ref="Q951">IF(P951="-",0,P951/(1+'General inputs'!$H$32)^IFERROR(INDEX('MP Calculations'!$C$40:$C$130,MATCH(F951,'MP Calculations'!$D$40:$D$130,0),0),-1))</f>
        <v>1060.1567950932258</v>
      </c>
    </row>
    <row r="952" spans="3:17" x14ac:dyDescent="0.25">
      <c r="C952" s="159"/>
      <c r="D952" s="165" t="s">
        <v>405</v>
      </c>
      <c r="E952" s="161">
        <v>43711</v>
      </c>
      <c r="F952" s="172" t="str">
        <f t="shared" si="45"/>
        <v>2019-20</v>
      </c>
      <c r="G952" s="68"/>
      <c r="H952" s="167" t="s">
        <v>279</v>
      </c>
      <c r="I952" s="173">
        <v>89592.114709699614</v>
      </c>
      <c r="J952" s="168">
        <f>IFERROR(MIN('MP Calculations'!$E$30/I952,1),"-")</f>
        <v>0.31014580161562261</v>
      </c>
      <c r="K952" s="12"/>
      <c r="L952" s="159">
        <v>1</v>
      </c>
      <c r="M952" s="159" t="s">
        <v>409</v>
      </c>
      <c r="N952" s="159">
        <v>29275.16</v>
      </c>
      <c r="O952" s="185">
        <f t="shared" si="46"/>
        <v>29275.16</v>
      </c>
      <c r="P952" s="215">
        <f t="shared" si="47"/>
        <v>9079.5679656256107</v>
      </c>
      <c r="Q952" s="215" cm="1">
        <f t="array" ref="Q952">IF(P952="-",0,P952/(1+'General inputs'!$H$32)^IFERROR(INDEX('MP Calculations'!$C$40:$C$130,MATCH(F952,'MP Calculations'!$D$40:$D$130,0),0),-1))</f>
        <v>10272.315289999968</v>
      </c>
    </row>
    <row r="953" spans="3:17" x14ac:dyDescent="0.25">
      <c r="C953" s="159"/>
      <c r="D953" s="165" t="s">
        <v>403</v>
      </c>
      <c r="E953" s="161">
        <v>43720</v>
      </c>
      <c r="F953" s="172" t="str">
        <f t="shared" si="45"/>
        <v>2019-20</v>
      </c>
      <c r="G953" s="68"/>
      <c r="H953" s="167" t="s">
        <v>279</v>
      </c>
      <c r="I953" s="173">
        <v>89592.114709699614</v>
      </c>
      <c r="J953" s="168">
        <f>IFERROR(MIN('MP Calculations'!$E$30/I953,1),"-")</f>
        <v>0.31014580161562261</v>
      </c>
      <c r="K953" s="12"/>
      <c r="L953" s="159">
        <v>1</v>
      </c>
      <c r="M953" s="159" t="s">
        <v>409</v>
      </c>
      <c r="N953" s="159">
        <v>41592.160000000003</v>
      </c>
      <c r="O953" s="185">
        <f t="shared" si="46"/>
        <v>41592.160000000003</v>
      </c>
      <c r="P953" s="215">
        <f t="shared" si="47"/>
        <v>12899.633804125235</v>
      </c>
      <c r="Q953" s="215" cm="1">
        <f t="array" ref="Q953">IF(P953="-",0,P953/(1+'General inputs'!$H$32)^IFERROR(INDEX('MP Calculations'!$C$40:$C$130,MATCH(F953,'MP Calculations'!$D$40:$D$130,0),0),-1))</f>
        <v>14594.208233605728</v>
      </c>
    </row>
    <row r="954" spans="3:17" x14ac:dyDescent="0.25">
      <c r="C954" s="159"/>
      <c r="D954" s="165" t="s">
        <v>927</v>
      </c>
      <c r="E954" s="161">
        <v>43735</v>
      </c>
      <c r="F954" s="172" t="str">
        <f t="shared" si="45"/>
        <v>2019-20</v>
      </c>
      <c r="G954" s="68"/>
      <c r="H954" s="167" t="s">
        <v>279</v>
      </c>
      <c r="I954" s="173">
        <v>89592.114709699614</v>
      </c>
      <c r="J954" s="168">
        <f>IFERROR(MIN('MP Calculations'!$E$30/I954,1),"-")</f>
        <v>0.31014580161562261</v>
      </c>
      <c r="K954" s="12"/>
      <c r="L954" s="159">
        <v>1</v>
      </c>
      <c r="M954" s="159" t="s">
        <v>409</v>
      </c>
      <c r="N954" s="159">
        <v>32045.67</v>
      </c>
      <c r="O954" s="185">
        <f t="shared" si="46"/>
        <v>32045.67</v>
      </c>
      <c r="P954" s="215">
        <f t="shared" si="47"/>
        <v>9938.8300104597092</v>
      </c>
      <c r="Q954" s="215" cm="1">
        <f t="array" ref="Q954">IF(P954="-",0,P954/(1+'General inputs'!$H$32)^IFERROR(INDEX('MP Calculations'!$C$40:$C$130,MATCH(F954,'MP Calculations'!$D$40:$D$130,0),0),-1))</f>
        <v>11244.455228230803</v>
      </c>
    </row>
    <row r="955" spans="3:17" x14ac:dyDescent="0.25">
      <c r="C955" s="159"/>
      <c r="D955" s="165" t="s">
        <v>396</v>
      </c>
      <c r="E955" s="161">
        <v>43739</v>
      </c>
      <c r="F955" s="172" t="str">
        <f t="shared" si="45"/>
        <v>2019-20</v>
      </c>
      <c r="G955" s="68"/>
      <c r="H955" s="167" t="s">
        <v>279</v>
      </c>
      <c r="I955" s="173">
        <v>89592.114709699614</v>
      </c>
      <c r="J955" s="168">
        <f>IFERROR(MIN('MP Calculations'!$E$30/I955,1),"-")</f>
        <v>0.31014580161562261</v>
      </c>
      <c r="K955" s="12"/>
      <c r="L955" s="159">
        <v>1</v>
      </c>
      <c r="M955" s="159" t="s">
        <v>409</v>
      </c>
      <c r="N955" s="159">
        <v>40299.160000000003</v>
      </c>
      <c r="O955" s="185">
        <f t="shared" si="46"/>
        <v>40299.160000000003</v>
      </c>
      <c r="P955" s="215">
        <f t="shared" si="47"/>
        <v>12498.615282636236</v>
      </c>
      <c r="Q955" s="215" cm="1">
        <f t="array" ref="Q955">IF(P955="-",0,P955/(1+'General inputs'!$H$32)^IFERROR(INDEX('MP Calculations'!$C$40:$C$130,MATCH(F955,'MP Calculations'!$D$40:$D$130,0),0),-1))</f>
        <v>14140.509477733176</v>
      </c>
    </row>
    <row r="956" spans="3:17" x14ac:dyDescent="0.25">
      <c r="C956" s="159"/>
      <c r="D956" s="165" t="s">
        <v>449</v>
      </c>
      <c r="E956" s="161">
        <v>43774</v>
      </c>
      <c r="F956" s="172" t="str">
        <f t="shared" si="45"/>
        <v>2019-20</v>
      </c>
      <c r="G956" s="68"/>
      <c r="H956" s="167" t="s">
        <v>279</v>
      </c>
      <c r="I956" s="173">
        <v>89592.114709699614</v>
      </c>
      <c r="J956" s="168">
        <f>IFERROR(MIN('MP Calculations'!$E$30/I956,1),"-")</f>
        <v>0.31014580161562261</v>
      </c>
      <c r="K956" s="12"/>
      <c r="L956" s="159">
        <v>1</v>
      </c>
      <c r="M956" s="159" t="s">
        <v>409</v>
      </c>
      <c r="N956" s="159">
        <v>38031.160000000003</v>
      </c>
      <c r="O956" s="185">
        <f t="shared" si="46"/>
        <v>38031.160000000003</v>
      </c>
      <c r="P956" s="215">
        <f t="shared" si="47"/>
        <v>11795.204604572004</v>
      </c>
      <c r="Q956" s="215" cm="1">
        <f t="array" ref="Q956">IF(P956="-",0,P956/(1+'General inputs'!$H$32)^IFERROR(INDEX('MP Calculations'!$C$40:$C$130,MATCH(F956,'MP Calculations'!$D$40:$D$130,0),0),-1))</f>
        <v>13344.694490634218</v>
      </c>
    </row>
    <row r="957" spans="3:17" x14ac:dyDescent="0.25">
      <c r="C957" s="159"/>
      <c r="D957" s="165" t="s">
        <v>293</v>
      </c>
      <c r="E957" s="161">
        <v>43787</v>
      </c>
      <c r="F957" s="172" t="str">
        <f t="shared" si="45"/>
        <v>2019-20</v>
      </c>
      <c r="G957" s="68"/>
      <c r="H957" s="167" t="s">
        <v>279</v>
      </c>
      <c r="I957" s="173">
        <v>89592.114709699614</v>
      </c>
      <c r="J957" s="168">
        <f>IFERROR(MIN('MP Calculations'!$E$30/I957,1),"-")</f>
        <v>0.31014580161562261</v>
      </c>
      <c r="K957" s="12"/>
      <c r="L957" s="159">
        <v>19.843657</v>
      </c>
      <c r="M957" s="159" t="s">
        <v>408</v>
      </c>
      <c r="N957" s="159">
        <v>1803</v>
      </c>
      <c r="O957" s="185">
        <f t="shared" si="46"/>
        <v>35778.113571000002</v>
      </c>
      <c r="P957" s="215">
        <f t="shared" si="47"/>
        <v>11096.431713772581</v>
      </c>
      <c r="Q957" s="215" cm="1">
        <f t="array" ref="Q957">IF(P957="-",0,P957/(1+'General inputs'!$H$32)^IFERROR(INDEX('MP Calculations'!$C$40:$C$130,MATCH(F957,'MP Calculations'!$D$40:$D$130,0),0),-1))</f>
        <v>12554.126538770024</v>
      </c>
    </row>
    <row r="958" spans="3:17" x14ac:dyDescent="0.25">
      <c r="C958" s="159"/>
      <c r="D958" s="165" t="s">
        <v>311</v>
      </c>
      <c r="E958" s="161">
        <v>43787</v>
      </c>
      <c r="F958" s="172" t="str">
        <f t="shared" si="45"/>
        <v>2019-20</v>
      </c>
      <c r="G958" s="68"/>
      <c r="H958" s="167" t="s">
        <v>279</v>
      </c>
      <c r="I958" s="173">
        <v>89592.114709699614</v>
      </c>
      <c r="J958" s="168">
        <f>IFERROR(MIN('MP Calculations'!$E$30/I958,1),"-")</f>
        <v>0.31014580161562261</v>
      </c>
      <c r="K958" s="12"/>
      <c r="L958" s="159">
        <v>7.055714</v>
      </c>
      <c r="M958" s="159" t="s">
        <v>408</v>
      </c>
      <c r="N958" s="159">
        <v>2767</v>
      </c>
      <c r="O958" s="185">
        <f t="shared" si="46"/>
        <v>19523.160638000001</v>
      </c>
      <c r="P958" s="215">
        <f t="shared" si="47"/>
        <v>6055.0263061430805</v>
      </c>
      <c r="Q958" s="215" cm="1">
        <f t="array" ref="Q958">IF(P958="-",0,P958/(1+'General inputs'!$H$32)^IFERROR(INDEX('MP Calculations'!$C$40:$C$130,MATCH(F958,'MP Calculations'!$D$40:$D$130,0),0),-1))</f>
        <v>6850.4514247181887</v>
      </c>
    </row>
    <row r="959" spans="3:17" x14ac:dyDescent="0.25">
      <c r="C959" s="159"/>
      <c r="D959" s="165" t="s">
        <v>293</v>
      </c>
      <c r="E959" s="161">
        <v>43787</v>
      </c>
      <c r="F959" s="172" t="str">
        <f t="shared" si="45"/>
        <v>2019-20</v>
      </c>
      <c r="G959" s="68"/>
      <c r="H959" s="167" t="s">
        <v>279</v>
      </c>
      <c r="I959" s="173">
        <v>89592.114709699614</v>
      </c>
      <c r="J959" s="168">
        <f>IFERROR(MIN('MP Calculations'!$E$30/I959,1),"-")</f>
        <v>0.31014580161562261</v>
      </c>
      <c r="K959" s="12"/>
      <c r="L959" s="159">
        <v>19.735669999999999</v>
      </c>
      <c r="M959" s="159" t="s">
        <v>408</v>
      </c>
      <c r="N959" s="159">
        <v>1803</v>
      </c>
      <c r="O959" s="185">
        <f t="shared" si="46"/>
        <v>35583.413009999997</v>
      </c>
      <c r="P959" s="215">
        <f t="shared" si="47"/>
        <v>11036.046152206223</v>
      </c>
      <c r="Q959" s="215" cm="1">
        <f t="array" ref="Q959">IF(P959="-",0,P959/(1+'General inputs'!$H$32)^IFERROR(INDEX('MP Calculations'!$C$40:$C$130,MATCH(F959,'MP Calculations'!$D$40:$D$130,0),0),-1))</f>
        <v>12485.808362209011</v>
      </c>
    </row>
    <row r="960" spans="3:17" x14ac:dyDescent="0.25">
      <c r="C960" s="159"/>
      <c r="D960" s="165" t="s">
        <v>311</v>
      </c>
      <c r="E960" s="161">
        <v>43787</v>
      </c>
      <c r="F960" s="172" t="str">
        <f t="shared" si="45"/>
        <v>2019-20</v>
      </c>
      <c r="G960" s="68"/>
      <c r="H960" s="167" t="s">
        <v>279</v>
      </c>
      <c r="I960" s="173">
        <v>89592.114709699614</v>
      </c>
      <c r="J960" s="168">
        <f>IFERROR(MIN('MP Calculations'!$E$30/I960,1),"-")</f>
        <v>0.31014580161562261</v>
      </c>
      <c r="K960" s="12"/>
      <c r="L960" s="159">
        <v>7.9124650000000001</v>
      </c>
      <c r="M960" s="159" t="s">
        <v>408</v>
      </c>
      <c r="N960" s="159">
        <v>2767</v>
      </c>
      <c r="O960" s="185">
        <f t="shared" si="46"/>
        <v>21893.790655000001</v>
      </c>
      <c r="P960" s="215">
        <f t="shared" si="47"/>
        <v>6790.2672530996024</v>
      </c>
      <c r="Q960" s="215" cm="1">
        <f t="array" ref="Q960">IF(P960="-",0,P960/(1+'General inputs'!$H$32)^IFERROR(INDEX('MP Calculations'!$C$40:$C$130,MATCH(F960,'MP Calculations'!$D$40:$D$130,0),0),-1))</f>
        <v>7682.278098613805</v>
      </c>
    </row>
    <row r="961" spans="3:17" x14ac:dyDescent="0.25">
      <c r="C961" s="159"/>
      <c r="D961" s="165" t="s">
        <v>311</v>
      </c>
      <c r="E961" s="161">
        <v>43787</v>
      </c>
      <c r="F961" s="172" t="str">
        <f t="shared" si="45"/>
        <v>2019-20</v>
      </c>
      <c r="G961" s="68"/>
      <c r="H961" s="167" t="s">
        <v>279</v>
      </c>
      <c r="I961" s="173">
        <v>89592.114709699614</v>
      </c>
      <c r="J961" s="168">
        <f>IFERROR(MIN('MP Calculations'!$E$30/I961,1),"-")</f>
        <v>0.31014580161562261</v>
      </c>
      <c r="K961" s="12"/>
      <c r="L961" s="159">
        <v>4.0000239999999998</v>
      </c>
      <c r="M961" s="159" t="s">
        <v>408</v>
      </c>
      <c r="N961" s="159">
        <v>2767</v>
      </c>
      <c r="O961" s="185">
        <f t="shared" si="46"/>
        <v>11068.066407999999</v>
      </c>
      <c r="P961" s="215">
        <f t="shared" si="47"/>
        <v>3432.7143284441045</v>
      </c>
      <c r="Q961" s="215" cm="1">
        <f t="array" ref="Q961">IF(P961="-",0,P961/(1+'General inputs'!$H$32)^IFERROR(INDEX('MP Calculations'!$C$40:$C$130,MATCH(F961,'MP Calculations'!$D$40:$D$130,0),0),-1))</f>
        <v>3883.6565809933545</v>
      </c>
    </row>
    <row r="962" spans="3:17" x14ac:dyDescent="0.25">
      <c r="C962" s="159"/>
      <c r="D962" s="165" t="s">
        <v>287</v>
      </c>
      <c r="E962" s="161">
        <v>43787</v>
      </c>
      <c r="F962" s="172" t="str">
        <f t="shared" si="45"/>
        <v>2019-20</v>
      </c>
      <c r="G962" s="68"/>
      <c r="H962" s="167" t="s">
        <v>279</v>
      </c>
      <c r="I962" s="173">
        <v>89592.114709699614</v>
      </c>
      <c r="J962" s="168">
        <f>IFERROR(MIN('MP Calculations'!$E$30/I962,1),"-")</f>
        <v>0.31014580161562261</v>
      </c>
      <c r="K962" s="12"/>
      <c r="L962" s="159">
        <v>20.230049000000001</v>
      </c>
      <c r="M962" s="159" t="s">
        <v>408</v>
      </c>
      <c r="N962" s="159">
        <v>995</v>
      </c>
      <c r="O962" s="185">
        <f t="shared" si="46"/>
        <v>20128.898755000002</v>
      </c>
      <c r="P962" s="215">
        <f t="shared" si="47"/>
        <v>6242.8934400091839</v>
      </c>
      <c r="Q962" s="215" cm="1">
        <f t="array" ref="Q962">IF(P962="-",0,P962/(1+'General inputs'!$H$32)^IFERROR(INDEX('MP Calculations'!$C$40:$C$130,MATCH(F962,'MP Calculations'!$D$40:$D$130,0),0),-1))</f>
        <v>7062.9979290240544</v>
      </c>
    </row>
    <row r="963" spans="3:17" x14ac:dyDescent="0.25">
      <c r="C963" s="159"/>
      <c r="D963" s="165" t="s">
        <v>928</v>
      </c>
      <c r="E963" s="161">
        <v>43789</v>
      </c>
      <c r="F963" s="172" t="str">
        <f t="shared" si="45"/>
        <v>2019-20</v>
      </c>
      <c r="G963" s="68"/>
      <c r="H963" s="167" t="s">
        <v>279</v>
      </c>
      <c r="I963" s="173">
        <v>89592.114709699614</v>
      </c>
      <c r="J963" s="168">
        <f>IFERROR(MIN('MP Calculations'!$E$30/I963,1),"-")</f>
        <v>0.31014580161562261</v>
      </c>
      <c r="K963" s="12"/>
      <c r="L963" s="159">
        <v>1</v>
      </c>
      <c r="M963" s="159" t="s">
        <v>409</v>
      </c>
      <c r="N963" s="159">
        <v>37869.96</v>
      </c>
      <c r="O963" s="185">
        <f t="shared" si="46"/>
        <v>37869.96</v>
      </c>
      <c r="P963" s="215">
        <f t="shared" si="47"/>
        <v>11745.209101351564</v>
      </c>
      <c r="Q963" s="215" cm="1">
        <f t="array" ref="Q963">IF(P963="-",0,P963/(1+'General inputs'!$H$32)^IFERROR(INDEX('MP Calculations'!$C$40:$C$130,MATCH(F963,'MP Calculations'!$D$40:$D$130,0),0),-1))</f>
        <v>13288.131273738118</v>
      </c>
    </row>
    <row r="964" spans="3:17" x14ac:dyDescent="0.25">
      <c r="C964" s="159"/>
      <c r="D964" s="165" t="s">
        <v>929</v>
      </c>
      <c r="E964" s="161">
        <v>43789</v>
      </c>
      <c r="F964" s="172" t="str">
        <f t="shared" si="45"/>
        <v>2019-20</v>
      </c>
      <c r="G964" s="68"/>
      <c r="H964" s="167" t="s">
        <v>279</v>
      </c>
      <c r="I964" s="173">
        <v>89592.114709699614</v>
      </c>
      <c r="J964" s="168">
        <f>IFERROR(MIN('MP Calculations'!$E$30/I964,1),"-")</f>
        <v>0.31014580161562261</v>
      </c>
      <c r="K964" s="12"/>
      <c r="L964" s="159">
        <v>1</v>
      </c>
      <c r="M964" s="159" t="s">
        <v>409</v>
      </c>
      <c r="N964" s="159">
        <v>32672.23</v>
      </c>
      <c r="O964" s="185">
        <f t="shared" si="46"/>
        <v>32672.23</v>
      </c>
      <c r="P964" s="215">
        <f t="shared" si="47"/>
        <v>10133.154963919993</v>
      </c>
      <c r="Q964" s="215" cm="1">
        <f t="array" ref="Q964">IF(P964="-",0,P964/(1+'General inputs'!$H$32)^IFERROR(INDEX('MP Calculations'!$C$40:$C$130,MATCH(F964,'MP Calculations'!$D$40:$D$130,0),0),-1))</f>
        <v>11464.307890627946</v>
      </c>
    </row>
    <row r="965" spans="3:17" x14ac:dyDescent="0.25">
      <c r="C965" s="159"/>
      <c r="D965" s="165" t="s">
        <v>930</v>
      </c>
      <c r="E965" s="161">
        <v>43789</v>
      </c>
      <c r="F965" s="172" t="str">
        <f t="shared" si="45"/>
        <v>2019-20</v>
      </c>
      <c r="G965" s="68"/>
      <c r="H965" s="167" t="s">
        <v>279</v>
      </c>
      <c r="I965" s="173">
        <v>89592.114709699614</v>
      </c>
      <c r="J965" s="168">
        <f>IFERROR(MIN('MP Calculations'!$E$30/I965,1),"-")</f>
        <v>0.31014580161562261</v>
      </c>
      <c r="K965" s="12"/>
      <c r="L965" s="159">
        <v>1</v>
      </c>
      <c r="M965" s="159" t="s">
        <v>409</v>
      </c>
      <c r="N965" s="159">
        <v>32681.65</v>
      </c>
      <c r="O965" s="185">
        <f t="shared" si="46"/>
        <v>32681.65</v>
      </c>
      <c r="P965" s="215">
        <f t="shared" si="47"/>
        <v>10136.076537371213</v>
      </c>
      <c r="Q965" s="215" cm="1">
        <f t="array" ref="Q965">IF(P965="-",0,P965/(1+'General inputs'!$H$32)^IFERROR(INDEX('MP Calculations'!$C$40:$C$130,MATCH(F965,'MP Calculations'!$D$40:$D$130,0),0),-1))</f>
        <v>11467.613259754258</v>
      </c>
    </row>
    <row r="966" spans="3:17" x14ac:dyDescent="0.25">
      <c r="C966" s="159"/>
      <c r="D966" s="165" t="s">
        <v>931</v>
      </c>
      <c r="E966" s="161">
        <v>43789</v>
      </c>
      <c r="F966" s="172" t="str">
        <f t="shared" si="45"/>
        <v>2019-20</v>
      </c>
      <c r="G966" s="68"/>
      <c r="H966" s="167" t="s">
        <v>279</v>
      </c>
      <c r="I966" s="173">
        <v>89592.114709699614</v>
      </c>
      <c r="J966" s="168">
        <f>IFERROR(MIN('MP Calculations'!$E$30/I966,1),"-")</f>
        <v>0.31014580161562261</v>
      </c>
      <c r="K966" s="12"/>
      <c r="L966" s="159">
        <v>1</v>
      </c>
      <c r="M966" s="159" t="s">
        <v>409</v>
      </c>
      <c r="N966" s="159">
        <v>38886.11</v>
      </c>
      <c r="O966" s="185">
        <f t="shared" si="46"/>
        <v>38886.11</v>
      </c>
      <c r="P966" s="215">
        <f t="shared" si="47"/>
        <v>12060.363757663279</v>
      </c>
      <c r="Q966" s="215" cm="1">
        <f t="array" ref="Q966">IF(P966="-",0,P966/(1+'General inputs'!$H$32)^IFERROR(INDEX('MP Calculations'!$C$40:$C$130,MATCH(F966,'MP Calculations'!$D$40:$D$130,0),0),-1))</f>
        <v>13644.686564364487</v>
      </c>
    </row>
    <row r="967" spans="3:17" x14ac:dyDescent="0.25">
      <c r="C967" s="159"/>
      <c r="D967" s="165" t="s">
        <v>932</v>
      </c>
      <c r="E967" s="161">
        <v>43789</v>
      </c>
      <c r="F967" s="172" t="str">
        <f t="shared" si="45"/>
        <v>2019-20</v>
      </c>
      <c r="G967" s="68"/>
      <c r="H967" s="167" t="s">
        <v>279</v>
      </c>
      <c r="I967" s="173">
        <v>89592.114709699614</v>
      </c>
      <c r="J967" s="168">
        <f>IFERROR(MIN('MP Calculations'!$E$30/I967,1),"-")</f>
        <v>0.31014580161562261</v>
      </c>
      <c r="K967" s="12"/>
      <c r="L967" s="159">
        <v>1</v>
      </c>
      <c r="M967" s="159" t="s">
        <v>409</v>
      </c>
      <c r="N967" s="159">
        <v>38886.11</v>
      </c>
      <c r="O967" s="185">
        <f t="shared" si="46"/>
        <v>38886.11</v>
      </c>
      <c r="P967" s="215">
        <f t="shared" si="47"/>
        <v>12060.363757663279</v>
      </c>
      <c r="Q967" s="215" cm="1">
        <f t="array" ref="Q967">IF(P967="-",0,P967/(1+'General inputs'!$H$32)^IFERROR(INDEX('MP Calculations'!$C$40:$C$130,MATCH(F967,'MP Calculations'!$D$40:$D$130,0),0),-1))</f>
        <v>13644.686564364487</v>
      </c>
    </row>
    <row r="968" spans="3:17" x14ac:dyDescent="0.25">
      <c r="C968" s="159"/>
      <c r="D968" s="165" t="s">
        <v>933</v>
      </c>
      <c r="E968" s="161">
        <v>43789</v>
      </c>
      <c r="F968" s="172" t="str">
        <f t="shared" si="45"/>
        <v>2019-20</v>
      </c>
      <c r="G968" s="68"/>
      <c r="H968" s="167" t="s">
        <v>279</v>
      </c>
      <c r="I968" s="173">
        <v>89592.114709699614</v>
      </c>
      <c r="J968" s="168">
        <f>IFERROR(MIN('MP Calculations'!$E$30/I968,1),"-")</f>
        <v>0.31014580161562261</v>
      </c>
      <c r="K968" s="12"/>
      <c r="L968" s="159">
        <v>1</v>
      </c>
      <c r="M968" s="159" t="s">
        <v>409</v>
      </c>
      <c r="N968" s="159">
        <v>35631.99</v>
      </c>
      <c r="O968" s="185">
        <f t="shared" si="46"/>
        <v>35631.99</v>
      </c>
      <c r="P968" s="215">
        <f t="shared" si="47"/>
        <v>11051.112101709849</v>
      </c>
      <c r="Q968" s="215" cm="1">
        <f t="array" ref="Q968">IF(P968="-",0,P968/(1+'General inputs'!$H$32)^IFERROR(INDEX('MP Calculations'!$C$40:$C$130,MATCH(F968,'MP Calculations'!$D$40:$D$130,0),0),-1))</f>
        <v>12502.853466560933</v>
      </c>
    </row>
    <row r="969" spans="3:17" x14ac:dyDescent="0.25">
      <c r="C969" s="159"/>
      <c r="D969" s="165" t="s">
        <v>934</v>
      </c>
      <c r="E969" s="161">
        <v>43789</v>
      </c>
      <c r="F969" s="172" t="str">
        <f t="shared" si="45"/>
        <v>2019-20</v>
      </c>
      <c r="G969" s="68"/>
      <c r="H969" s="167" t="s">
        <v>279</v>
      </c>
      <c r="I969" s="173">
        <v>89592.114709699614</v>
      </c>
      <c r="J969" s="168">
        <f>IFERROR(MIN('MP Calculations'!$E$30/I969,1),"-")</f>
        <v>0.31014580161562261</v>
      </c>
      <c r="K969" s="12"/>
      <c r="L969" s="159">
        <v>1</v>
      </c>
      <c r="M969" s="159" t="s">
        <v>409</v>
      </c>
      <c r="N969" s="159">
        <v>20208.919999999998</v>
      </c>
      <c r="O969" s="185">
        <f t="shared" si="46"/>
        <v>20208.919999999998</v>
      </c>
      <c r="P969" s="215">
        <f t="shared" si="47"/>
        <v>6267.7116931859873</v>
      </c>
      <c r="Q969" s="215" cm="1">
        <f t="array" ref="Q969">IF(P969="-",0,P969/(1+'General inputs'!$H$32)^IFERROR(INDEX('MP Calculations'!$C$40:$C$130,MATCH(F969,'MP Calculations'!$D$40:$D$130,0),0),-1))</f>
        <v>7091.0764590316885</v>
      </c>
    </row>
    <row r="970" spans="3:17" x14ac:dyDescent="0.25">
      <c r="C970" s="159"/>
      <c r="D970" s="165" t="s">
        <v>935</v>
      </c>
      <c r="E970" s="161">
        <v>43789</v>
      </c>
      <c r="F970" s="172" t="str">
        <f t="shared" si="45"/>
        <v>2019-20</v>
      </c>
      <c r="G970" s="68"/>
      <c r="H970" s="167" t="s">
        <v>279</v>
      </c>
      <c r="I970" s="173">
        <v>89592.114709699614</v>
      </c>
      <c r="J970" s="168">
        <f>IFERROR(MIN('MP Calculations'!$E$30/I970,1),"-")</f>
        <v>0.31014580161562261</v>
      </c>
      <c r="K970" s="12"/>
      <c r="L970" s="159">
        <v>1</v>
      </c>
      <c r="M970" s="159" t="s">
        <v>409</v>
      </c>
      <c r="N970" s="159">
        <v>43215.76</v>
      </c>
      <c r="O970" s="185">
        <f t="shared" si="46"/>
        <v>43215.76</v>
      </c>
      <c r="P970" s="215">
        <f t="shared" si="47"/>
        <v>13403.186527628359</v>
      </c>
      <c r="Q970" s="215" cm="1">
        <f t="array" ref="Q970">IF(P970="-",0,P970/(1+'General inputs'!$H$32)^IFERROR(INDEX('MP Calculations'!$C$40:$C$130,MATCH(F970,'MP Calculations'!$D$40:$D$130,0),0),-1))</f>
        <v>15163.910708497204</v>
      </c>
    </row>
    <row r="971" spans="3:17" x14ac:dyDescent="0.25">
      <c r="C971" s="159"/>
      <c r="D971" s="165" t="s">
        <v>936</v>
      </c>
      <c r="E971" s="161">
        <v>43789</v>
      </c>
      <c r="F971" s="172" t="str">
        <f t="shared" si="45"/>
        <v>2019-20</v>
      </c>
      <c r="G971" s="68"/>
      <c r="H971" s="167" t="s">
        <v>279</v>
      </c>
      <c r="I971" s="173">
        <v>89592.114709699614</v>
      </c>
      <c r="J971" s="168">
        <f>IFERROR(MIN('MP Calculations'!$E$30/I971,1),"-")</f>
        <v>0.31014580161562261</v>
      </c>
      <c r="K971" s="12"/>
      <c r="L971" s="159">
        <v>1</v>
      </c>
      <c r="M971" s="159" t="s">
        <v>409</v>
      </c>
      <c r="N971" s="159">
        <v>29454.080000000002</v>
      </c>
      <c r="O971" s="185">
        <f t="shared" si="46"/>
        <v>29454.080000000002</v>
      </c>
      <c r="P971" s="215">
        <f t="shared" si="47"/>
        <v>9135.0592524506774</v>
      </c>
      <c r="Q971" s="215" cm="1">
        <f t="array" ref="Q971">IF(P971="-",0,P971/(1+'General inputs'!$H$32)^IFERROR(INDEX('MP Calculations'!$C$40:$C$130,MATCH(F971,'MP Calculations'!$D$40:$D$130,0),0),-1))</f>
        <v>10335.096250093329</v>
      </c>
    </row>
    <row r="972" spans="3:17" x14ac:dyDescent="0.25">
      <c r="C972" s="159"/>
      <c r="D972" s="165" t="s">
        <v>937</v>
      </c>
      <c r="E972" s="161">
        <v>43789</v>
      </c>
      <c r="F972" s="172" t="str">
        <f t="shared" si="45"/>
        <v>2019-20</v>
      </c>
      <c r="G972" s="68"/>
      <c r="H972" s="167" t="s">
        <v>279</v>
      </c>
      <c r="I972" s="173">
        <v>89592.114709699614</v>
      </c>
      <c r="J972" s="168">
        <f>IFERROR(MIN('MP Calculations'!$E$30/I972,1),"-")</f>
        <v>0.31014580161562261</v>
      </c>
      <c r="K972" s="12"/>
      <c r="L972" s="159">
        <v>1</v>
      </c>
      <c r="M972" s="159" t="s">
        <v>409</v>
      </c>
      <c r="N972" s="159">
        <v>29710.68</v>
      </c>
      <c r="O972" s="185">
        <f t="shared" si="46"/>
        <v>29710.68</v>
      </c>
      <c r="P972" s="215">
        <f t="shared" si="47"/>
        <v>9214.6426651452457</v>
      </c>
      <c r="Q972" s="215" cm="1">
        <f t="array" ref="Q972">IF(P972="-",0,P972/(1+'General inputs'!$H$32)^IFERROR(INDEX('MP Calculations'!$C$40:$C$130,MATCH(F972,'MP Calculations'!$D$40:$D$130,0),0),-1))</f>
        <v>10425.134224383273</v>
      </c>
    </row>
    <row r="973" spans="3:17" x14ac:dyDescent="0.25">
      <c r="C973" s="159"/>
      <c r="D973" s="165" t="s">
        <v>938</v>
      </c>
      <c r="E973" s="161">
        <v>43789</v>
      </c>
      <c r="F973" s="172" t="str">
        <f t="shared" si="45"/>
        <v>2019-20</v>
      </c>
      <c r="G973" s="68"/>
      <c r="H973" s="167" t="s">
        <v>279</v>
      </c>
      <c r="I973" s="173">
        <v>89592.114709699614</v>
      </c>
      <c r="J973" s="168">
        <f>IFERROR(MIN('MP Calculations'!$E$30/I973,1),"-")</f>
        <v>0.31014580161562261</v>
      </c>
      <c r="K973" s="12"/>
      <c r="L973" s="159">
        <v>1</v>
      </c>
      <c r="M973" s="159" t="s">
        <v>409</v>
      </c>
      <c r="N973" s="159">
        <v>38080.93</v>
      </c>
      <c r="O973" s="185">
        <f t="shared" si="46"/>
        <v>38080.93</v>
      </c>
      <c r="P973" s="215">
        <f t="shared" si="47"/>
        <v>11810.640561118411</v>
      </c>
      <c r="Q973" s="215" cm="1">
        <f t="array" ref="Q973">IF(P973="-",0,P973/(1+'General inputs'!$H$32)^IFERROR(INDEX('MP Calculations'!$C$40:$C$130,MATCH(F973,'MP Calculations'!$D$40:$D$130,0),0),-1))</f>
        <v>13362.158208406665</v>
      </c>
    </row>
    <row r="974" spans="3:17" x14ac:dyDescent="0.25">
      <c r="C974" s="159"/>
      <c r="D974" s="165" t="s">
        <v>445</v>
      </c>
      <c r="E974" s="161">
        <v>43790</v>
      </c>
      <c r="F974" s="172" t="str">
        <f t="shared" si="45"/>
        <v>2019-20</v>
      </c>
      <c r="G974" s="68"/>
      <c r="H974" s="167" t="s">
        <v>279</v>
      </c>
      <c r="I974" s="173">
        <v>89592.114709699614</v>
      </c>
      <c r="J974" s="168">
        <f>IFERROR(MIN('MP Calculations'!$E$30/I974,1),"-")</f>
        <v>0.31014580161562261</v>
      </c>
      <c r="K974" s="12"/>
      <c r="L974" s="159">
        <v>1</v>
      </c>
      <c r="M974" s="159" t="s">
        <v>409</v>
      </c>
      <c r="N974" s="159">
        <v>37651.160000000003</v>
      </c>
      <c r="O974" s="185">
        <f t="shared" si="46"/>
        <v>37651.160000000003</v>
      </c>
      <c r="P974" s="215">
        <f t="shared" si="47"/>
        <v>11677.349199958066</v>
      </c>
      <c r="Q974" s="215" cm="1">
        <f t="array" ref="Q974">IF(P974="-",0,P974/(1+'General inputs'!$H$32)^IFERROR(INDEX('MP Calculations'!$C$40:$C$130,MATCH(F974,'MP Calculations'!$D$40:$D$130,0),0),-1))</f>
        <v>13211.35688256649</v>
      </c>
    </row>
    <row r="975" spans="3:17" x14ac:dyDescent="0.25">
      <c r="C975" s="159"/>
      <c r="D975" s="165" t="s">
        <v>398</v>
      </c>
      <c r="E975" s="161">
        <v>43797</v>
      </c>
      <c r="F975" s="172" t="str">
        <f t="shared" si="45"/>
        <v>2019-20</v>
      </c>
      <c r="G975" s="68"/>
      <c r="H975" s="167" t="s">
        <v>279</v>
      </c>
      <c r="I975" s="173">
        <v>89592.114709699614</v>
      </c>
      <c r="J975" s="168">
        <f>IFERROR(MIN('MP Calculations'!$E$30/I975,1),"-")</f>
        <v>0.31014580161562261</v>
      </c>
      <c r="K975" s="12"/>
      <c r="L975" s="159">
        <v>1</v>
      </c>
      <c r="M975" s="159" t="s">
        <v>409</v>
      </c>
      <c r="N975" s="159">
        <v>38412.160000000003</v>
      </c>
      <c r="O975" s="185">
        <f t="shared" si="46"/>
        <v>38412.160000000003</v>
      </c>
      <c r="P975" s="215">
        <f t="shared" si="47"/>
        <v>11913.370154987555</v>
      </c>
      <c r="Q975" s="215" cm="1">
        <f t="array" ref="Q975">IF(P975="-",0,P975/(1+'General inputs'!$H$32)^IFERROR(INDEX('MP Calculations'!$C$40:$C$130,MATCH(F975,'MP Calculations'!$D$40:$D$130,0),0),-1))</f>
        <v>13478.382987144227</v>
      </c>
    </row>
    <row r="976" spans="3:17" x14ac:dyDescent="0.25">
      <c r="C976" s="159"/>
      <c r="D976" s="165" t="s">
        <v>447</v>
      </c>
      <c r="E976" s="161">
        <v>43801</v>
      </c>
      <c r="F976" s="172" t="str">
        <f t="shared" si="45"/>
        <v>2019-20</v>
      </c>
      <c r="G976" s="68"/>
      <c r="H976" s="167" t="s">
        <v>279</v>
      </c>
      <c r="I976" s="173">
        <v>89592.114709699614</v>
      </c>
      <c r="J976" s="168">
        <f>IFERROR(MIN('MP Calculations'!$E$30/I976,1),"-")</f>
        <v>0.31014580161562261</v>
      </c>
      <c r="K976" s="12"/>
      <c r="L976" s="159">
        <v>1</v>
      </c>
      <c r="M976" s="159" t="s">
        <v>409</v>
      </c>
      <c r="N976" s="159">
        <v>38031.160000000003</v>
      </c>
      <c r="O976" s="185">
        <f t="shared" si="46"/>
        <v>38031.160000000003</v>
      </c>
      <c r="P976" s="215">
        <f t="shared" si="47"/>
        <v>11795.204604572004</v>
      </c>
      <c r="Q976" s="215" cm="1">
        <f t="array" ref="Q976">IF(P976="-",0,P976/(1+'General inputs'!$H$32)^IFERROR(INDEX('MP Calculations'!$C$40:$C$130,MATCH(F976,'MP Calculations'!$D$40:$D$130,0),0),-1))</f>
        <v>13344.694490634218</v>
      </c>
    </row>
    <row r="977" spans="3:17" x14ac:dyDescent="0.25">
      <c r="C977" s="159"/>
      <c r="D977" s="165" t="s">
        <v>283</v>
      </c>
      <c r="E977" s="161">
        <v>43811</v>
      </c>
      <c r="F977" s="172" t="str">
        <f t="shared" si="45"/>
        <v>2019-20</v>
      </c>
      <c r="G977" s="68"/>
      <c r="H977" s="167" t="s">
        <v>279</v>
      </c>
      <c r="I977" s="173">
        <v>89592.114709699614</v>
      </c>
      <c r="J977" s="168">
        <f>IFERROR(MIN('MP Calculations'!$E$30/I977,1),"-")</f>
        <v>0.31014580161562261</v>
      </c>
      <c r="K977" s="12"/>
      <c r="L977" s="159">
        <v>1.6999960000000001</v>
      </c>
      <c r="M977" s="159" t="s">
        <v>408</v>
      </c>
      <c r="N977" s="159">
        <v>622</v>
      </c>
      <c r="O977" s="185">
        <f t="shared" si="46"/>
        <v>1057.397512</v>
      </c>
      <c r="P977" s="215">
        <f t="shared" si="47"/>
        <v>327.94739898560493</v>
      </c>
      <c r="Q977" s="215" cm="1">
        <f t="array" ref="Q977">IF(P977="-",0,P977/(1+'General inputs'!$H$32)^IFERROR(INDEX('MP Calculations'!$C$40:$C$130,MATCH(F977,'MP Calculations'!$D$40:$D$130,0),0),-1))</f>
        <v>371.0285658601191</v>
      </c>
    </row>
    <row r="978" spans="3:17" x14ac:dyDescent="0.25">
      <c r="C978" s="159"/>
      <c r="D978" s="165" t="s">
        <v>939</v>
      </c>
      <c r="E978" s="161">
        <v>43910</v>
      </c>
      <c r="F978" s="172" t="str">
        <f t="shared" si="45"/>
        <v>2019-20</v>
      </c>
      <c r="G978" s="68"/>
      <c r="H978" s="167" t="s">
        <v>279</v>
      </c>
      <c r="I978" s="173">
        <v>89592.114709699614</v>
      </c>
      <c r="J978" s="168">
        <f>IFERROR(MIN('MP Calculations'!$E$30/I978,1),"-")</f>
        <v>0.31014580161562261</v>
      </c>
      <c r="K978" s="12"/>
      <c r="L978" s="159">
        <v>1</v>
      </c>
      <c r="M978" s="159" t="s">
        <v>409</v>
      </c>
      <c r="N978" s="159">
        <v>20100.29</v>
      </c>
      <c r="O978" s="185">
        <f t="shared" si="46"/>
        <v>20100.29</v>
      </c>
      <c r="P978" s="215">
        <f t="shared" si="47"/>
        <v>6234.0205547564829</v>
      </c>
      <c r="Q978" s="215" cm="1">
        <f t="array" ref="Q978">IF(P978="-",0,P978/(1+'General inputs'!$H$32)^IFERROR(INDEX('MP Calculations'!$C$40:$C$130,MATCH(F978,'MP Calculations'!$D$40:$D$130,0),0),-1))</f>
        <v>7052.9594475464337</v>
      </c>
    </row>
    <row r="979" spans="3:17" x14ac:dyDescent="0.25">
      <c r="C979" s="159"/>
      <c r="D979" s="165" t="s">
        <v>940</v>
      </c>
      <c r="E979" s="161">
        <v>43910</v>
      </c>
      <c r="F979" s="172" t="str">
        <f t="shared" si="45"/>
        <v>2019-20</v>
      </c>
      <c r="G979" s="68"/>
      <c r="H979" s="167" t="s">
        <v>279</v>
      </c>
      <c r="I979" s="173">
        <v>89592.114709699614</v>
      </c>
      <c r="J979" s="168">
        <f>IFERROR(MIN('MP Calculations'!$E$30/I979,1),"-")</f>
        <v>0.31014580161562261</v>
      </c>
      <c r="K979" s="12"/>
      <c r="L979" s="159">
        <v>1</v>
      </c>
      <c r="M979" s="159" t="s">
        <v>409</v>
      </c>
      <c r="N979" s="159">
        <v>72875.16</v>
      </c>
      <c r="O979" s="185">
        <f t="shared" si="46"/>
        <v>72875.16</v>
      </c>
      <c r="P979" s="215">
        <f t="shared" si="47"/>
        <v>22601.924916066757</v>
      </c>
      <c r="Q979" s="215" cm="1">
        <f t="array" ref="Q979">IF(P979="-",0,P979/(1+'General inputs'!$H$32)^IFERROR(INDEX('MP Calculations'!$C$40:$C$130,MATCH(F979,'MP Calculations'!$D$40:$D$130,0),0),-1))</f>
        <v>25571.051373560182</v>
      </c>
    </row>
    <row r="980" spans="3:17" x14ac:dyDescent="0.25">
      <c r="C980" s="159"/>
      <c r="D980" s="165" t="s">
        <v>444</v>
      </c>
      <c r="E980" s="161">
        <v>43928</v>
      </c>
      <c r="F980" s="172" t="str">
        <f t="shared" si="45"/>
        <v>2019-20</v>
      </c>
      <c r="G980" s="68"/>
      <c r="H980" s="167" t="s">
        <v>279</v>
      </c>
      <c r="I980" s="173">
        <v>89592.114709699614</v>
      </c>
      <c r="J980" s="168">
        <f>IFERROR(MIN('MP Calculations'!$E$30/I980,1),"-")</f>
        <v>0.31014580161562261</v>
      </c>
      <c r="K980" s="12"/>
      <c r="L980" s="159">
        <v>1</v>
      </c>
      <c r="M980" s="159" t="s">
        <v>409</v>
      </c>
      <c r="N980" s="159">
        <v>39290.160000000003</v>
      </c>
      <c r="O980" s="185">
        <f t="shared" si="46"/>
        <v>39290.160000000003</v>
      </c>
      <c r="P980" s="215">
        <f t="shared" si="47"/>
        <v>12185.678168806071</v>
      </c>
      <c r="Q980" s="215" cm="1">
        <f t="array" ref="Q980">IF(P980="-",0,P980/(1+'General inputs'!$H$32)^IFERROR(INDEX('MP Calculations'!$C$40:$C$130,MATCH(F980,'MP Calculations'!$D$40:$D$130,0),0),-1))</f>
        <v>13786.463039469132</v>
      </c>
    </row>
    <row r="981" spans="3:17" x14ac:dyDescent="0.25">
      <c r="C981" s="159"/>
      <c r="D981" s="165" t="s">
        <v>941</v>
      </c>
      <c r="E981" s="161">
        <v>43980</v>
      </c>
      <c r="F981" s="172" t="str">
        <f t="shared" si="45"/>
        <v>2019-20</v>
      </c>
      <c r="G981" s="68"/>
      <c r="H981" s="167" t="s">
        <v>279</v>
      </c>
      <c r="I981" s="173">
        <v>89592.114709699614</v>
      </c>
      <c r="J981" s="168">
        <f>IFERROR(MIN('MP Calculations'!$E$30/I981,1),"-")</f>
        <v>0.31014580161562261</v>
      </c>
      <c r="K981" s="12"/>
      <c r="L981" s="159">
        <v>1</v>
      </c>
      <c r="M981" s="159" t="s">
        <v>409</v>
      </c>
      <c r="N981" s="159">
        <v>107635.6</v>
      </c>
      <c r="O981" s="185">
        <f t="shared" si="46"/>
        <v>107635.6</v>
      </c>
      <c r="P981" s="215">
        <f t="shared" si="47"/>
        <v>33382.729444378514</v>
      </c>
      <c r="Q981" s="215" cm="1">
        <f t="array" ref="Q981">IF(P981="-",0,P981/(1+'General inputs'!$H$32)^IFERROR(INDEX('MP Calculations'!$C$40:$C$130,MATCH(F981,'MP Calculations'!$D$40:$D$130,0),0),-1))</f>
        <v>37768.088018248942</v>
      </c>
    </row>
    <row r="982" spans="3:17" x14ac:dyDescent="0.25">
      <c r="C982" s="159"/>
      <c r="D982" s="165" t="s">
        <v>942</v>
      </c>
      <c r="E982" s="161">
        <v>43983</v>
      </c>
      <c r="F982" s="172" t="str">
        <f t="shared" ref="F982:F1045" si="48">IF(E982="","-",IF(OR(E982&lt;$E$15,E982&gt;$E$16),"ERROR - date outside of range",IF(MONTH(E982)&gt;=7,YEAR(E982)&amp;"-"&amp;IF(YEAR(E982)=1999,"00",IF(AND(YEAR(E982)&gt;=2000,YEAR(E982)&lt;2009),"0","")&amp;RIGHT(YEAR(E982),2)+1),RIGHT(YEAR(E982),4)-1&amp;"-"&amp;RIGHT(YEAR(E982),2))))</f>
        <v>2019-20</v>
      </c>
      <c r="G982" s="68"/>
      <c r="H982" s="167" t="s">
        <v>279</v>
      </c>
      <c r="I982" s="173">
        <v>89592.114709699614</v>
      </c>
      <c r="J982" s="168">
        <f>IFERROR(MIN('MP Calculations'!$E$30/I982,1),"-")</f>
        <v>0.31014580161562261</v>
      </c>
      <c r="K982" s="12"/>
      <c r="L982" s="159">
        <v>1</v>
      </c>
      <c r="M982" s="159" t="s">
        <v>409</v>
      </c>
      <c r="N982" s="159">
        <v>235913.39</v>
      </c>
      <c r="O982" s="185">
        <f t="shared" ref="O982:O1045" si="49">IF(N982="","-",L982*N982)</f>
        <v>235913.39</v>
      </c>
      <c r="P982" s="215">
        <f t="shared" ref="P982:P1045" si="50">IF(O982="-","-",IF(OR(E982&lt;$E$15,E982&gt;$E$16),0,O982*J982))</f>
        <v>73167.547453409017</v>
      </c>
      <c r="Q982" s="215" cm="1">
        <f t="array" ref="Q982">IF(P982="-",0,P982/(1+'General inputs'!$H$32)^IFERROR(INDEX('MP Calculations'!$C$40:$C$130,MATCH(F982,'MP Calculations'!$D$40:$D$130,0),0),-1))</f>
        <v>82779.281930917743</v>
      </c>
    </row>
    <row r="983" spans="3:17" x14ac:dyDescent="0.25">
      <c r="C983" s="159"/>
      <c r="D983" s="165" t="s">
        <v>282</v>
      </c>
      <c r="E983" s="161">
        <v>43998</v>
      </c>
      <c r="F983" s="172" t="str">
        <f t="shared" si="48"/>
        <v>2019-20</v>
      </c>
      <c r="G983" s="68"/>
      <c r="H983" s="167" t="s">
        <v>279</v>
      </c>
      <c r="I983" s="173">
        <v>89592.114709699614</v>
      </c>
      <c r="J983" s="168">
        <f>IFERROR(MIN('MP Calculations'!$E$30/I983,1),"-")</f>
        <v>0.31014580161562261</v>
      </c>
      <c r="K983" s="12"/>
      <c r="L983" s="159">
        <v>2.9999829999999998</v>
      </c>
      <c r="M983" s="159" t="s">
        <v>408</v>
      </c>
      <c r="N983" s="159">
        <v>1803</v>
      </c>
      <c r="O983" s="185">
        <f t="shared" si="49"/>
        <v>5408.969349</v>
      </c>
      <c r="P983" s="215">
        <f t="shared" si="50"/>
        <v>1677.5691346599374</v>
      </c>
      <c r="Q983" s="215" cm="1">
        <f t="array" ref="Q983">IF(P983="-",0,P983/(1+'General inputs'!$H$32)^IFERROR(INDEX('MP Calculations'!$C$40:$C$130,MATCH(F983,'MP Calculations'!$D$40:$D$130,0),0),-1))</f>
        <v>1897.9448292297591</v>
      </c>
    </row>
    <row r="984" spans="3:17" x14ac:dyDescent="0.25">
      <c r="C984" s="159"/>
      <c r="D984" s="165" t="s">
        <v>287</v>
      </c>
      <c r="E984" s="161">
        <v>43998</v>
      </c>
      <c r="F984" s="172" t="str">
        <f t="shared" si="48"/>
        <v>2019-20</v>
      </c>
      <c r="G984" s="68"/>
      <c r="H984" s="167" t="s">
        <v>279</v>
      </c>
      <c r="I984" s="173">
        <v>89592.114709699614</v>
      </c>
      <c r="J984" s="168">
        <f>IFERROR(MIN('MP Calculations'!$E$30/I984,1),"-")</f>
        <v>0.31014580161562261</v>
      </c>
      <c r="K984" s="12"/>
      <c r="L984" s="159">
        <v>11.399931</v>
      </c>
      <c r="M984" s="159" t="s">
        <v>408</v>
      </c>
      <c r="N984" s="159">
        <v>995</v>
      </c>
      <c r="O984" s="185">
        <f t="shared" si="49"/>
        <v>11342.931345000001</v>
      </c>
      <c r="P984" s="215">
        <f t="shared" si="50"/>
        <v>3517.9625346659977</v>
      </c>
      <c r="Q984" s="215" cm="1">
        <f t="array" ref="Q984">IF(P984="-",0,P984/(1+'General inputs'!$H$32)^IFERROR(INDEX('MP Calculations'!$C$40:$C$130,MATCH(F984,'MP Calculations'!$D$40:$D$130,0),0),-1))</f>
        <v>3980.103510575635</v>
      </c>
    </row>
    <row r="985" spans="3:17" x14ac:dyDescent="0.25">
      <c r="C985" s="159"/>
      <c r="D985" s="165" t="s">
        <v>943</v>
      </c>
      <c r="E985" s="161">
        <v>44001</v>
      </c>
      <c r="F985" s="172" t="str">
        <f t="shared" si="48"/>
        <v>2019-20</v>
      </c>
      <c r="G985" s="68"/>
      <c r="H985" s="167" t="s">
        <v>279</v>
      </c>
      <c r="I985" s="173">
        <v>89592.114709699614</v>
      </c>
      <c r="J985" s="168">
        <f>IFERROR(MIN('MP Calculations'!$E$30/I985,1),"-")</f>
        <v>0.31014580161562261</v>
      </c>
      <c r="K985" s="12"/>
      <c r="L985" s="159">
        <v>1</v>
      </c>
      <c r="M985" s="159" t="s">
        <v>409</v>
      </c>
      <c r="N985" s="159">
        <v>238276.24</v>
      </c>
      <c r="O985" s="185">
        <f t="shared" si="49"/>
        <v>238276.24</v>
      </c>
      <c r="P985" s="215">
        <f t="shared" si="50"/>
        <v>73900.375460756477</v>
      </c>
      <c r="Q985" s="215" cm="1">
        <f t="array" ref="Q985">IF(P985="-",0,P985/(1+'General inputs'!$H$32)^IFERROR(INDEX('MP Calculations'!$C$40:$C$130,MATCH(F985,'MP Calculations'!$D$40:$D$130,0),0),-1))</f>
        <v>83608.378686767275</v>
      </c>
    </row>
    <row r="986" spans="3:17" x14ac:dyDescent="0.25">
      <c r="C986" s="159"/>
      <c r="D986" s="165" t="s">
        <v>944</v>
      </c>
      <c r="E986" s="161">
        <v>44014</v>
      </c>
      <c r="F986" s="172" t="str">
        <f t="shared" si="48"/>
        <v>2020-21</v>
      </c>
      <c r="G986" s="68"/>
      <c r="H986" s="167" t="s">
        <v>279</v>
      </c>
      <c r="I986" s="173">
        <v>89592.114709699614</v>
      </c>
      <c r="J986" s="168">
        <f>IFERROR(MIN('MP Calculations'!$E$30/I986,1),"-")</f>
        <v>0.31014580161562261</v>
      </c>
      <c r="K986" s="12"/>
      <c r="L986" s="159">
        <v>1</v>
      </c>
      <c r="M986" s="159" t="s">
        <v>409</v>
      </c>
      <c r="N986" s="159">
        <v>68459.490000000005</v>
      </c>
      <c r="O986" s="185">
        <f t="shared" si="49"/>
        <v>68459.490000000005</v>
      </c>
      <c r="P986" s="215">
        <f t="shared" si="50"/>
        <v>21232.4234042467</v>
      </c>
      <c r="Q986" s="215" cm="1">
        <f t="array" ref="Q986">IF(P986="-",0,P986/(1+'General inputs'!$H$32)^IFERROR(INDEX('MP Calculations'!$C$40:$C$130,MATCH(F986,'MP Calculations'!$D$40:$D$130,0),0),-1))</f>
        <v>23053.400965088516</v>
      </c>
    </row>
    <row r="987" spans="3:17" x14ac:dyDescent="0.25">
      <c r="C987" s="159"/>
      <c r="D987" s="165" t="s">
        <v>945</v>
      </c>
      <c r="E987" s="161">
        <v>44036</v>
      </c>
      <c r="F987" s="172" t="str">
        <f t="shared" si="48"/>
        <v>2020-21</v>
      </c>
      <c r="G987" s="68"/>
      <c r="H987" s="167" t="s">
        <v>279</v>
      </c>
      <c r="I987" s="173">
        <v>89592.114709699614</v>
      </c>
      <c r="J987" s="168">
        <f>IFERROR(MIN('MP Calculations'!$E$30/I987,1),"-")</f>
        <v>0.31014580161562261</v>
      </c>
      <c r="K987" s="12"/>
      <c r="L987" s="159">
        <v>1</v>
      </c>
      <c r="M987" s="159" t="s">
        <v>409</v>
      </c>
      <c r="N987" s="159">
        <v>170901.97</v>
      </c>
      <c r="O987" s="185">
        <f t="shared" si="49"/>
        <v>170901.97</v>
      </c>
      <c r="P987" s="215">
        <f t="shared" si="50"/>
        <v>53004.528483339083</v>
      </c>
      <c r="Q987" s="215" cm="1">
        <f t="array" ref="Q987">IF(P987="-",0,P987/(1+'General inputs'!$H$32)^IFERROR(INDEX('MP Calculations'!$C$40:$C$130,MATCH(F987,'MP Calculations'!$D$40:$D$130,0),0),-1))</f>
        <v>57550.408864184188</v>
      </c>
    </row>
    <row r="988" spans="3:17" x14ac:dyDescent="0.25">
      <c r="C988" s="159"/>
      <c r="D988" s="165" t="s">
        <v>946</v>
      </c>
      <c r="E988" s="161">
        <v>44189</v>
      </c>
      <c r="F988" s="172" t="str">
        <f t="shared" si="48"/>
        <v>2020-21</v>
      </c>
      <c r="G988" s="68"/>
      <c r="H988" s="167" t="s">
        <v>279</v>
      </c>
      <c r="I988" s="173">
        <v>89592.114709699614</v>
      </c>
      <c r="J988" s="168">
        <f>IFERROR(MIN('MP Calculations'!$E$30/I988,1),"-")</f>
        <v>0.31014580161562261</v>
      </c>
      <c r="K988" s="12"/>
      <c r="L988" s="159">
        <v>1</v>
      </c>
      <c r="M988" s="159" t="s">
        <v>409</v>
      </c>
      <c r="N988" s="159">
        <v>648191.46</v>
      </c>
      <c r="O988" s="185">
        <f t="shared" si="49"/>
        <v>648191.46</v>
      </c>
      <c r="P988" s="215">
        <f t="shared" si="50"/>
        <v>201033.85996210077</v>
      </c>
      <c r="Q988" s="215" cm="1">
        <f t="array" ref="Q988">IF(P988="-",0,P988/(1+'General inputs'!$H$32)^IFERROR(INDEX('MP Calculations'!$C$40:$C$130,MATCH(F988,'MP Calculations'!$D$40:$D$130,0),0),-1))</f>
        <v>218275.32792789041</v>
      </c>
    </row>
    <row r="989" spans="3:17" x14ac:dyDescent="0.25">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5">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5">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5">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5">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5">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5">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5">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5">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5">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5">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5">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5">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5">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5">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5">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5">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5">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5">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5">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5">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5">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5">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5">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5">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5">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5">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5">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5">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5">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5">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5">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5">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5">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5">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5">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5">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5">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5">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5">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5">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5">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5">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5">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5">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5">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5">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5">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5">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5">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5">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5">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5">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5">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5">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5">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5">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5">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5">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5">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5">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5">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5">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5">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5">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5">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5">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5">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5">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5">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5">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5">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5">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5">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5">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5">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5">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5">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5">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5">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5">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5">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5">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5">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5">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5">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5">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5">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5">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5">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5">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5">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5">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5">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5">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5">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5">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5">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5">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5">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5">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5">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5">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5">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5">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5">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5">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5">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5">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5">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5">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5">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5">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5">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5">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5">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5">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5">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5">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5">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5">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5">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5">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5">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5">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5">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5">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5">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5">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5">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5">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5">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5">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5">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5">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5">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5">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5">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5">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5">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5">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5">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5">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5">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5">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5">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5">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5">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5">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5">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5">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5">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5">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5">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5">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5">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5">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5">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5">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5">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5">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5">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5">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5">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5">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5">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5">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5">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5">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5">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5">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5">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5">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5">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5">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5">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5">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5">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5">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5">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5">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5">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5">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5">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5">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5">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5">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5">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5">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5">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5">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5">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5">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5">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5">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5">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5">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5">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5">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5">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5">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5">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5">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5">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5">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5">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5">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5">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5">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5">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5">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5">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5">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5">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5">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5">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5">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5">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5">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5">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5">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5">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5">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5">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5">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5">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5">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5">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5">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5">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5">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5">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5">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5">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5">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5">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5">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5">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5">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5">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5">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5">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5">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5">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5">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5">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5">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5">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5">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5">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5">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5">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5">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5">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5">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5">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5">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5">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5">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5">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5">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5">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5">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5">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5">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5">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5">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5">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5">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5">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5">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5">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5">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5">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5">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5">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5">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5">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5">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5">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5">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5">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5">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5">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5">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5">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5">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5">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5">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5">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5">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5">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5">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5">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5">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5">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5">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5">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5">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5">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5">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5">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5">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5">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5">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5">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5">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5">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5">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5">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5">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5">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5">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5">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5">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5">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5">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5">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5">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5">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5">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5">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5">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5">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5">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5">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5">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5">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5">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5">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5">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5">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5">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5">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5">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5">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5">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5">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5">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5">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5">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5">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5">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5">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5">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5">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5">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5">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5">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5">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5">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5">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5">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5">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5">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5">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5">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5">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5">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5">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5">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5">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5">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5">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5">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5">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5">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5">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5">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5">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5">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5">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5">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5">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5">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5">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5">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5">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5">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5">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5">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5">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5">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5">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5">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5">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5">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5">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5">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5">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5">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5">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5">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5">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5">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5">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5">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5">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5">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5">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5">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5">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5">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5">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5">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5">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5">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5">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5">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5">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5">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5">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5">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5">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5">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5">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5">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5">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5">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5">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5">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5">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5">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5">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5">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5">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5">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5">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5">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5">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5">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5">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5">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5">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5">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5">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5">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5">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5">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5">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5">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5">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5">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5">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5">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5">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5">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5">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5">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5">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5">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5">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5">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5">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5">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5">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5">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5">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5">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5">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5">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5">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5">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5">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5">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5">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5">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5">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5">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5">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5">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5">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5">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5">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5">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5">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5">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5">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5">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5">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5">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5">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5">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5">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5">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5">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5">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5">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5">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5">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5">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5">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5">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5">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5">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5">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5">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5">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5">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5">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5">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5">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5">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5">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5">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5">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5">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5">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5">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5">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5">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5">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5">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5">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5">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5">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5">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5">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5">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5">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5">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5">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5">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5">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5">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5">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5">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5">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5">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5">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5">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5">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5">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5">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5">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5">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5">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5">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5">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5">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5">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5">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5">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5">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5">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5">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5">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5">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5">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5">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5">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5">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5">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5">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5">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5">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5">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5">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5">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5">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5">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5">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5">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5">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5">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5">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5">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5">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5">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5">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5">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5">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5">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5">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5">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5">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5">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5">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5">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5">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5">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5">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5">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5">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5">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5">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5">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5">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5">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5">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5">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5">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5">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5">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5">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5">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5">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5">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5">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5">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5">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5">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5">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5">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5">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5">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5">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5">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5">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5">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5">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5">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5">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5">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5">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5">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5">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5">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5">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5">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5">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5">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5">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5">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5">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5">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5">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5">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5">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5">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5">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5">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5">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5">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5">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5">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5">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5">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5">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5">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5">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5">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5">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5">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5">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5">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5">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5">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5">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5">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5">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5">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5">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5">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5">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5">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5">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5">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5">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5">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5">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5">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5">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5">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5">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5">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5">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5">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5">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5">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5">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5">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5">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5">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5">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5">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5">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5">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5">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5">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5">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5">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5">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5">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5">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5">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5">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5">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5">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5">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5">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5">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5">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5">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5">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5">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5">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5">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5">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5">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5">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5">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5">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5">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5">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5">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5">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5">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5">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5">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5">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5">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5">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5">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5">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5">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5">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5">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5">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5">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5">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5">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5">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5">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5">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5">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5">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5">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5">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5">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5">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5">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5">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5">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5">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5">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5">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5">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5">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5">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5">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5">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5">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5">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5">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5">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5">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5">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5">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5">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5">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5">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5">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5">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5">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5">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5">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5">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5">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5">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5">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5">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5">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5">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5">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5">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5">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5">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5">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5">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5">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5">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5">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5">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5">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5">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5">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5">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5">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5">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5">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5">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5">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5">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5">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5">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5">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5">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5">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5">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5">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5">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5">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5">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5">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5">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5">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5">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5">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5">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5">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5">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5">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5">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5">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5">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5">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5">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5">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5">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5">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5">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5">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5">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5">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5">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5">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5">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5">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5">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5">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5">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5">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5">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5">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5">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5">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5">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5">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5">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5">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5">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5">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5">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5">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5">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5">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5">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5">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5">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5">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5">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5">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5">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5">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5">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5">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5">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5">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5">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5">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5">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5">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5">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5">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5">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5">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5">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5">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5">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5">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5">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5">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5">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5">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5">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5">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5">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5">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5">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5">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5">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5">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5">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5">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5">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5">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5">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5">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5">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5">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5">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5">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5">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5">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5">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5">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5">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5">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5">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5">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5">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5">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5">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5">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5">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5">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5">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5">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5">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5">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5">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5">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5">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5">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5">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5">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5">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5">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5">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5">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5">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5">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5">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5">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5">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5">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5">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5">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5">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5">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5">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5">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5">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5">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5">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5">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5">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5">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5">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5">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5">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5">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5">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5">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5">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5">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5">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5">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5">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5">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5">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5">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5">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5">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5">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5">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5">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5">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5">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5">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5">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5">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5">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5">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5">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5">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5">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5">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5">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5">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5">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5">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5">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5">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5">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5">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5">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5">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5">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5">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5">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5">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5">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5">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5">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5">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5">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5">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5">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5">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5">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5">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5">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5">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5">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5">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5">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5">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5">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5">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5">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5">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5">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5">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5">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5">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5">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5">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5">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5">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5">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5">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5">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5">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5">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5">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5">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5">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5">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5">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5">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5">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5">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5">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5">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5">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5">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5">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5">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5">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5">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5">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5">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5">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5">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5">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5">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5">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5">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5">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5">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5">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5">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5">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5">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5">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5">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5">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5">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5">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5">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5">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5">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5">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5">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5">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5">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5">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5">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5">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5">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5">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5">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5">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5">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5">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5">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5">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5">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5">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5">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5">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5">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5">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5">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5">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5">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5">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5">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5">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5">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5">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5">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5">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5">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5">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5">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5">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5">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5">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5">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5">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5">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5">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5">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5">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5">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5">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5">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5">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5">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5">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5">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5">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5">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5">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5">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5">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5">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5">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5">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5">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5">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5">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5">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5">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5">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5">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5">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5">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5">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5">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5">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5">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5">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5">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5">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5">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5">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5">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5">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5">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5">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5">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5">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5">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5">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5">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5">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5">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5">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5">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5">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5">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5">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5">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5">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5">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5">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5">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5">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5">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5">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5">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5">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5">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5">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5">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5">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5">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5">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5">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5">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5">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5">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5">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5">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5">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5">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5">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5">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5">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5">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5">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5">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5">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5">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5">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5">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5">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5">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5">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5">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5">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5">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5">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5">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5">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5">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5">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5">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5">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5">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5">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5">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5">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5">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5">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5">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5">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5">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5">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5">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5">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5">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5">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5">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5">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5">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5">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5">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5">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5">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5">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5">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5">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5">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5">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5">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5">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5">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5">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5">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5">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5">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5">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5">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5">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5">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5">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5">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5">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5">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5">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5">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5">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5">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5">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5">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5">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5">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5">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5">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5">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5">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5">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5">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5">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5">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5">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5">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5">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5">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5">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5">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5">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5">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5">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5">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5">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5">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5">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5">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5">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5">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5">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5">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5">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5">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5">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5">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5">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5">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5">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5">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5">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5">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5">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5">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5">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5">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5">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5">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5">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5">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5">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5">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5">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5">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5">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5">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5">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5">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5">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5">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5">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5">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5">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5">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5">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5">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5">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5">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5">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5">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5">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5">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5">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5">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5">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5">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5">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5">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5">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5">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5">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5">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5">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5">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5">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5">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5">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5">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5">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5">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5">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5">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5">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5">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5">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5">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5">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5">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5">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5">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5">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5">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5">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5">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5">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5">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5">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5">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5">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5">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5">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5">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5">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5">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5">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5">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5">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5">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5">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5">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5">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5">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5">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5">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5">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5">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5">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5">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5">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5">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5">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5">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5">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5">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5">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5">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5">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5">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5">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5">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5">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5">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5">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5">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5">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5">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5">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5">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5">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5">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5">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5">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5">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5">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5">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5">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5">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5">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5">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5">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5">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5">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5">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5">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5">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5">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5">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5">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5">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5">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5">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5">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5">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5">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5">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5">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5">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5">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5">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5">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5">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5">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5">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5">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5">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5">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5">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5">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5">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5">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5">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5">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5">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5">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5">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5">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5">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5">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5">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5">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5">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5">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5">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5">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5">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5">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5">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5">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5">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5">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5">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5">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5">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5">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5">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5">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5">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5">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5">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5">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5">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5">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5">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5">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5">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5">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5">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5">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5">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5">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5">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5">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5">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5">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5">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5">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5">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5">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5">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5">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5">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5">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5">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5">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5">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5">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5">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5">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5">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5">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5">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5">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5">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5">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5">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5">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5">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5">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5">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5">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5">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5">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5">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5">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5">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5">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5">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5">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5">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5">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5">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5">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5">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5">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5">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5">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5">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5">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5">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5">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5">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5">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5">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5">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5">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5">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5">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5">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5">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5">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5">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5">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5">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5">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5">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5">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5">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5">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5">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5">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5">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5">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5">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5">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5">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5">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5">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5">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5">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5">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5">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5">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5">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5">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5">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5">
      <c r="D2530" s="94"/>
      <c r="O2530" s="6" t="s">
        <v>19</v>
      </c>
      <c r="P2530" s="235">
        <f>SUM(P22:P2529)</f>
        <v>31550538.522693902</v>
      </c>
      <c r="Q2530" s="236">
        <f>SUM(Q22:Q2529)</f>
        <v>49840545.578882508</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N22" sqref="N22:N25"/>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x14ac:dyDescent="0.25">
      <c r="E1" s="27"/>
    </row>
    <row r="2" spans="3:6" x14ac:dyDescent="0.25">
      <c r="E2" s="27"/>
      <c r="F2" s="27"/>
    </row>
    <row r="3" spans="3:6" ht="20" x14ac:dyDescent="0.4">
      <c r="C3" s="50" t="s">
        <v>203</v>
      </c>
    </row>
    <row r="6" spans="3:6"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4" t="str">
        <f ca="1">"Hyperlink to the '"&amp;MID(CELL("filename",'Asset exclusions'!A1),FIND("]",CELL("filename",'Asset exclusions'!A1))+1,255)&amp;"' worksheet:"</f>
        <v>Hyperlink to the 'Asset exclusions' worksheet:</v>
      </c>
      <c r="E7" s="134" t="s">
        <v>187</v>
      </c>
    </row>
    <row r="8" spans="3:6" x14ac:dyDescent="0.25">
      <c r="C8" s="104"/>
      <c r="E8" s="134"/>
    </row>
    <row r="9" spans="3:6" x14ac:dyDescent="0.25">
      <c r="C9" s="104" t="s">
        <v>242</v>
      </c>
      <c r="E9" s="134"/>
    </row>
    <row r="10" spans="3:6" x14ac:dyDescent="0.25">
      <c r="C10" s="104" t="s">
        <v>245</v>
      </c>
      <c r="E10" s="134"/>
    </row>
    <row r="11" spans="3:6" x14ac:dyDescent="0.25">
      <c r="C11" s="104" t="s">
        <v>244</v>
      </c>
      <c r="E11" s="134"/>
    </row>
    <row r="12" spans="3:6" x14ac:dyDescent="0.25">
      <c r="C12" s="104" t="s">
        <v>243</v>
      </c>
      <c r="E12" s="134"/>
    </row>
    <row r="14" spans="3:6" x14ac:dyDescent="0.25">
      <c r="C14" s="6" t="s">
        <v>54</v>
      </c>
    </row>
    <row r="15" spans="3:6" x14ac:dyDescent="0.25">
      <c r="C15" s="57" t="s">
        <v>58</v>
      </c>
      <c r="E15" s="232">
        <f>'General inputs'!$H$18+1-365</f>
        <v>44378</v>
      </c>
      <c r="F15" s="57" t="s">
        <v>972</v>
      </c>
    </row>
    <row r="16" spans="3:6" x14ac:dyDescent="0.25">
      <c r="C16" s="57"/>
      <c r="F16" s="241" t="s">
        <v>973</v>
      </c>
    </row>
    <row r="17" spans="3:18" x14ac:dyDescent="0.25">
      <c r="F17" s="241" t="s">
        <v>974</v>
      </c>
    </row>
    <row r="18" spans="3:18" ht="15.5" x14ac:dyDescent="0.35">
      <c r="C18" s="2" t="s">
        <v>209</v>
      </c>
      <c r="I18" s="188"/>
    </row>
    <row r="20" spans="3:18" x14ac:dyDescent="0.25">
      <c r="C20" s="6" t="s">
        <v>16</v>
      </c>
      <c r="H20" s="6" t="s">
        <v>17</v>
      </c>
      <c r="L20" s="6" t="s">
        <v>18</v>
      </c>
      <c r="M20" s="6"/>
    </row>
    <row r="21" spans="3:18" ht="46" x14ac:dyDescent="0.25">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947</v>
      </c>
      <c r="E22" s="161">
        <v>45107</v>
      </c>
      <c r="F22" s="164" t="str">
        <f>IF(E22="","-",IF(E22&lt;$E$15,"ERROR - date outside of range",IF(MONTH(E22)&gt;=7,YEAR(E22)&amp;"-"&amp;RIGHT(YEAR(E22),2)+1,YEAR(E22)-1&amp;"-"&amp;RIGHT(YEAR(E22),2))))</f>
        <v>2022-23</v>
      </c>
      <c r="G22" s="68"/>
      <c r="H22" s="167" t="s">
        <v>279</v>
      </c>
      <c r="I22" s="192"/>
      <c r="J22" s="189">
        <v>0.06</v>
      </c>
      <c r="K22" s="12"/>
      <c r="L22" s="158">
        <v>1</v>
      </c>
      <c r="M22" s="158" t="s">
        <v>409</v>
      </c>
      <c r="N22" s="173">
        <v>3274603</v>
      </c>
      <c r="O22" s="226">
        <f>IF(N22="","-",L22*N22)</f>
        <v>3274603</v>
      </c>
      <c r="P22" s="227">
        <f>IF(O22="-","-",IF(E22&lt;$E$15,0,O22*J22))</f>
        <v>196476.18</v>
      </c>
      <c r="Q22" s="215" cm="1">
        <f t="array" ref="Q22">IF(P22="-",0,P22/(1+'General inputs'!$H$32)^IFERROR(INDEX('MP Calculations'!$C$40:$C$130,MATCH(F22,'MP Calculations'!$D$40:$D$130,0),0),-1))</f>
        <v>196476.18</v>
      </c>
    </row>
    <row r="23" spans="3:18" x14ac:dyDescent="0.25">
      <c r="C23" s="159"/>
      <c r="D23" s="165" t="s">
        <v>948</v>
      </c>
      <c r="E23" s="161">
        <v>45107</v>
      </c>
      <c r="F23" s="169" t="str">
        <f t="shared" ref="F23:F27" si="0">IF(E23="","-",IF(E23&lt;$E$15,"ERROR - date outside of range",IF(MONTH(E23)&gt;=7,YEAR(E23)&amp;"-"&amp;RIGHT(YEAR(E23),2)+1,YEAR(E23)-1&amp;"-"&amp;RIGHT(YEAR(E23),2))))</f>
        <v>2022-23</v>
      </c>
      <c r="G23" s="68"/>
      <c r="H23" s="167" t="s">
        <v>279</v>
      </c>
      <c r="I23" s="193"/>
      <c r="J23" s="190">
        <v>0.1</v>
      </c>
      <c r="K23" s="12"/>
      <c r="L23" s="174">
        <v>1</v>
      </c>
      <c r="M23" s="159" t="s">
        <v>409</v>
      </c>
      <c r="N23" s="173">
        <v>2335458</v>
      </c>
      <c r="O23" s="228">
        <f t="shared" ref="O23:O28" si="1">IF(N23="","-",L23*N23)</f>
        <v>2335458</v>
      </c>
      <c r="P23" s="229">
        <f t="shared" ref="P23:P28" si="2">IF(O23="-","-",IF(E23&lt;$E$15,0,O23*J23))</f>
        <v>233545.80000000002</v>
      </c>
      <c r="Q23" s="215" cm="1">
        <f t="array" ref="Q23">IF(P23="-",0,P23/(1+'General inputs'!$H$32)^IFERROR(INDEX('MP Calculations'!$C$40:$C$130,MATCH(F23,'MP Calculations'!$D$40:$D$130,0),0),-1))</f>
        <v>233545.80000000002</v>
      </c>
      <c r="R23" s="84"/>
    </row>
    <row r="24" spans="3:18" x14ac:dyDescent="0.25">
      <c r="C24" s="159"/>
      <c r="D24" s="165" t="s">
        <v>948</v>
      </c>
      <c r="E24" s="161">
        <v>45838</v>
      </c>
      <c r="F24" s="169" t="str">
        <f t="shared" si="0"/>
        <v>2024-25</v>
      </c>
      <c r="G24" s="68"/>
      <c r="H24" s="167" t="s">
        <v>279</v>
      </c>
      <c r="I24" s="194"/>
      <c r="J24" s="191">
        <v>0.1</v>
      </c>
      <c r="K24" s="12"/>
      <c r="L24" s="159">
        <v>1</v>
      </c>
      <c r="M24" s="159" t="s">
        <v>409</v>
      </c>
      <c r="N24" s="173">
        <v>8208415</v>
      </c>
      <c r="O24" s="228">
        <f t="shared" si="1"/>
        <v>8208415</v>
      </c>
      <c r="P24" s="229">
        <f t="shared" si="2"/>
        <v>820841.5</v>
      </c>
      <c r="Q24" s="215" cm="1">
        <f t="array" ref="Q24">IF(P24="-",0,P24/(1+'General inputs'!$H$32)^IFERROR(INDEX('MP Calculations'!$C$40:$C$130,MATCH(F24,'MP Calculations'!$D$40:$D$130,0),0),-1))</f>
        <v>756003.60667695734</v>
      </c>
    </row>
    <row r="25" spans="3:18" x14ac:dyDescent="0.25">
      <c r="C25" s="159"/>
      <c r="D25" s="165" t="s">
        <v>949</v>
      </c>
      <c r="E25" s="161">
        <v>46934</v>
      </c>
      <c r="F25" s="169" t="str">
        <f t="shared" si="0"/>
        <v>2027-28</v>
      </c>
      <c r="G25" s="68"/>
      <c r="H25" s="167" t="s">
        <v>279</v>
      </c>
      <c r="I25" s="194"/>
      <c r="J25" s="191">
        <v>0.17</v>
      </c>
      <c r="K25" s="12"/>
      <c r="L25" s="159">
        <v>1</v>
      </c>
      <c r="M25" s="231" t="s">
        <v>409</v>
      </c>
      <c r="N25" s="173">
        <v>65645715</v>
      </c>
      <c r="O25" s="228">
        <f t="shared" si="1"/>
        <v>65645715</v>
      </c>
      <c r="P25" s="229">
        <f t="shared" si="2"/>
        <v>11159771.550000001</v>
      </c>
      <c r="Q25" s="215" cm="1">
        <f t="array" ref="Q25">IF(P25="-",0,P25/(1+'General inputs'!$H$32)^IFERROR(INDEX('MP Calculations'!$C$40:$C$130,MATCH(F25,'MP Calculations'!$D$40:$D$130,0),0),-1))</f>
        <v>9084828.0026776791</v>
      </c>
      <c r="R25" s="188"/>
    </row>
    <row r="26" spans="3:18" x14ac:dyDescent="0.25">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5">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5">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5">
      <c r="O29" s="6" t="s">
        <v>19</v>
      </c>
      <c r="P29" s="220">
        <f>SUM(P22:P28)</f>
        <v>12410635.030000001</v>
      </c>
      <c r="Q29" s="220">
        <f>SUM(Q22:Q28)</f>
        <v>10270853.589354636</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11" zoomScaleNormal="100" workbookViewId="0">
      <selection activeCell="F11" sqref="F11"/>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x14ac:dyDescent="0.4">
      <c r="C3" s="50" t="s">
        <v>117</v>
      </c>
    </row>
    <row r="6" spans="3:40" x14ac:dyDescent="0.25">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273</v>
      </c>
      <c r="G8" s="39"/>
      <c r="H8" s="40"/>
      <c r="I8" s="39" t="s">
        <v>20</v>
      </c>
      <c r="J8" s="39"/>
      <c r="K8" s="40"/>
      <c r="L8" s="249" t="s">
        <v>93</v>
      </c>
      <c r="M8" s="250"/>
      <c r="N8" s="40"/>
      <c r="O8" s="249" t="s">
        <v>95</v>
      </c>
      <c r="P8" s="250"/>
      <c r="Q8" s="40"/>
      <c r="R8" s="249" t="s">
        <v>94</v>
      </c>
      <c r="S8" s="250"/>
      <c r="T8" s="40"/>
      <c r="U8" s="249" t="s">
        <v>119</v>
      </c>
      <c r="V8" s="250"/>
      <c r="W8" s="40"/>
      <c r="X8" s="249" t="s">
        <v>120</v>
      </c>
      <c r="Y8" s="250"/>
      <c r="Z8" s="40"/>
      <c r="AA8" s="249" t="s">
        <v>121</v>
      </c>
      <c r="AB8" s="250"/>
      <c r="AC8" s="40"/>
      <c r="AD8" s="249" t="s">
        <v>122</v>
      </c>
      <c r="AE8" s="250"/>
      <c r="AF8" s="40"/>
      <c r="AG8" s="249" t="s">
        <v>123</v>
      </c>
      <c r="AH8" s="250"/>
    </row>
    <row r="9" spans="3:40" x14ac:dyDescent="0.25">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x14ac:dyDescent="0.2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5">
      <c r="C12" s="26" t="str">
        <f>'MP Calculations'!D40</f>
        <v>1995-96</v>
      </c>
      <c r="D12" s="176">
        <f>IF(LEFT($C12,4)*1&lt;LEFT('General inputs'!$I$16,4)+'General inputs'!$H$38,SUM(G12,J12,M12,P12,S12,V12,Y12,AB12,AE12,AH12),"")</f>
        <v>202.165310527907</v>
      </c>
      <c r="F12" s="41">
        <f>202.165310527907</f>
        <v>202.165310527907</v>
      </c>
      <c r="G12" s="176">
        <f>F12*$G$9/$F$6</f>
        <v>202.165310527907</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5">
      <c r="C13" s="26" t="str">
        <f>'MP Calculations'!D41</f>
        <v>1996-97</v>
      </c>
      <c r="D13" s="177">
        <f>IF(LEFT($C13,4)*1&lt;LEFT('General inputs'!$I$16,4)+'General inputs'!$H$38,SUM(G13,J13,M13,P13,S13,V13,Y13,AB13,AE13,AH13),"")</f>
        <v>407.05702243357524</v>
      </c>
      <c r="F13" s="32">
        <v>407.05702243357518</v>
      </c>
      <c r="G13" s="177">
        <f t="shared" ref="G13:G43" si="9">F13*$G$9/$F$6</f>
        <v>407.05702243357524</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5">
      <c r="C14" s="26" t="str">
        <f>'MP Calculations'!D42</f>
        <v>1997-98</v>
      </c>
      <c r="D14" s="177">
        <f>IF(LEFT($C14,4)*1&lt;LEFT('General inputs'!$I$16,4)+'General inputs'!$H$38,SUM(G14,J14,M14,P14,S14,V14,Y14,AB14,AE14,AH14),"")</f>
        <v>409.80180793585896</v>
      </c>
      <c r="F14" s="32">
        <v>409.80180793585896</v>
      </c>
      <c r="G14" s="177">
        <f t="shared" si="9"/>
        <v>409.80180793585896</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5">
      <c r="C15" s="26" t="str">
        <f>'MP Calculations'!D43</f>
        <v>1998-99</v>
      </c>
      <c r="D15" s="177">
        <f>IF(LEFT($C15,4)*1&lt;LEFT('General inputs'!$I$16,4)+'General inputs'!$H$38,SUM(G15,J15,M15,P15,S15,V15,Y15,AB15,AE15,AH15),"")</f>
        <v>412.56510152676492</v>
      </c>
      <c r="F15" s="32">
        <v>412.56510152676492</v>
      </c>
      <c r="G15" s="177">
        <f t="shared" si="9"/>
        <v>412.56510152676492</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Calculations'!D44</f>
        <v>1999-00</v>
      </c>
      <c r="D16" s="177">
        <f>IF(LEFT($C16,4)*1&lt;LEFT('General inputs'!$I$16,4)+'General inputs'!$H$38,SUM(G16,J16,M16,P16,S16,V16,Y16,AB16,AE16,AH16),"")</f>
        <v>415.34702800635574</v>
      </c>
      <c r="F16" s="32">
        <v>415.34702800635569</v>
      </c>
      <c r="G16" s="177">
        <f t="shared" si="9"/>
        <v>415.34702800635574</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5">
      <c r="C17" s="26" t="str">
        <f>'MP Calculations'!D45</f>
        <v>2000-01</v>
      </c>
      <c r="D17" s="177">
        <f>IF(LEFT($C17,4)*1&lt;LEFT('General inputs'!$I$16,4)+'General inputs'!$H$38,SUM(G17,J17,M17,P17,S17,V17,Y17,AB17,AE17,AH17),"")</f>
        <v>418.14771301620198</v>
      </c>
      <c r="F17" s="32">
        <v>418.14771301620203</v>
      </c>
      <c r="G17" s="177">
        <f t="shared" si="9"/>
        <v>418.14771301620198</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5">
      <c r="C18" s="26" t="str">
        <f>'MP Calculations'!D46</f>
        <v>2001-02</v>
      </c>
      <c r="D18" s="177">
        <f>IF(LEFT($C18,4)*1&lt;LEFT('General inputs'!$I$16,4)+'General inputs'!$H$38,SUM(G18,J18,M18,P18,S18,V18,Y18,AB18,AE18,AH18),"")</f>
        <v>420.96728304508002</v>
      </c>
      <c r="F18" s="32">
        <v>420.96728304507997</v>
      </c>
      <c r="G18" s="177">
        <f t="shared" si="9"/>
        <v>420.96728304508002</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5">
      <c r="C19" s="26" t="str">
        <f>'MP Calculations'!D47</f>
        <v>2002-03</v>
      </c>
      <c r="D19" s="177">
        <f>IF(LEFT($C19,4)*1&lt;LEFT('General inputs'!$I$16,4)+'General inputs'!$H$38,SUM(G19,J19,M19,P19,S19,V19,Y19,AB19,AE19,AH19),"")</f>
        <v>423.80586543464591</v>
      </c>
      <c r="F19" s="32">
        <v>423.80586543464597</v>
      </c>
      <c r="G19" s="177">
        <f t="shared" si="9"/>
        <v>423.80586543464591</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5">
      <c r="C20" s="26" t="str">
        <f>'MP Calculations'!D48</f>
        <v>2003-04</v>
      </c>
      <c r="D20" s="177">
        <f>IF(LEFT($C20,4)*1&lt;LEFT('General inputs'!$I$16,4)+'General inputs'!$H$38,SUM(G20,J20,M20,P20,S20,V20,Y20,AB20,AE20,AH20),"")</f>
        <v>426.66358838526509</v>
      </c>
      <c r="F20" s="32">
        <v>426.66358838526503</v>
      </c>
      <c r="G20" s="177">
        <f t="shared" si="9"/>
        <v>426.66358838526509</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5">
      <c r="C21" s="26" t="str">
        <f>'MP Calculations'!D49</f>
        <v>2004-05</v>
      </c>
      <c r="D21" s="177">
        <f>IF(LEFT($C21,4)*1&lt;LEFT('General inputs'!$I$16,4)+'General inputs'!$H$38,SUM(G21,J21,M21,P21,S21,V21,Y21,AB21,AE21,AH21),"")</f>
        <v>429.54058096175874</v>
      </c>
      <c r="F21" s="32">
        <v>429.54058096175868</v>
      </c>
      <c r="G21" s="177">
        <f t="shared" si="9"/>
        <v>429.54058096175874</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5">
      <c r="C22" s="26" t="str">
        <f>'MP Calculations'!D50</f>
        <v>2005-06</v>
      </c>
      <c r="D22" s="177">
        <f>IF(LEFT($C22,4)*1&lt;LEFT('General inputs'!$I$16,4)+'General inputs'!$H$38,SUM(G22,J22,M22,P22,S22,V22,Y22,AB22,AE22,AH22),"")</f>
        <v>432.43697309918934</v>
      </c>
      <c r="F22" s="32">
        <v>432.43697309918934</v>
      </c>
      <c r="G22" s="177">
        <f t="shared" si="9"/>
        <v>432.43697309918934</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5">
      <c r="C23" s="26" t="str">
        <f>'MP Calculations'!D51</f>
        <v>2006-07</v>
      </c>
      <c r="D23" s="177">
        <f>IF(LEFT($C23,4)*1&lt;LEFT('General inputs'!$I$16,4)+'General inputs'!$H$38,SUM(G23,J23,M23,P23,S23,V23,Y23,AB23,AE23,AH23),"")</f>
        <v>435.35289560876845</v>
      </c>
      <c r="F23" s="32">
        <v>435.35289560876845</v>
      </c>
      <c r="G23" s="177">
        <f t="shared" si="9"/>
        <v>435.35289560876845</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5">
      <c r="C24" s="26" t="str">
        <f>'MP Calculations'!D52</f>
        <v>2007-08</v>
      </c>
      <c r="D24" s="177">
        <f>IF(LEFT($C24,4)*1&lt;LEFT('General inputs'!$I$16,4)+'General inputs'!$H$38,SUM(G24,J24,M24,P24,S24,V24,Y24,AB24,AE24,AH24),"")</f>
        <v>438.28848018388089</v>
      </c>
      <c r="F24" s="32">
        <v>438.28848018388089</v>
      </c>
      <c r="G24" s="177">
        <f t="shared" si="9"/>
        <v>438.28848018388089</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5">
      <c r="C25" s="26" t="str">
        <f>'MP Calculations'!D53</f>
        <v>2008-09</v>
      </c>
      <c r="D25" s="177">
        <f>IF(LEFT($C25,4)*1&lt;LEFT('General inputs'!$I$16,4)+'General inputs'!$H$38,SUM(G25,J25,M25,P25,S25,V25,Y25,AB25,AE25,AH25),"")</f>
        <v>441.2438594057603</v>
      </c>
      <c r="F25" s="32">
        <v>441.2438594057603</v>
      </c>
      <c r="G25" s="177">
        <f t="shared" si="9"/>
        <v>441.2438594057603</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5">
      <c r="C26" s="26" t="str">
        <f>'MP Calculations'!D54</f>
        <v>2009-10</v>
      </c>
      <c r="D26" s="177">
        <f>IF(LEFT($C26,4)*1&lt;LEFT('General inputs'!$I$16,4)+'General inputs'!$H$38,SUM(G26,J26,M26,P26,S26,V26,Y26,AB26,AE26,AH26),"")</f>
        <v>444.21916674973909</v>
      </c>
      <c r="F26" s="32">
        <v>444.21916674973909</v>
      </c>
      <c r="G26" s="177">
        <f t="shared" si="9"/>
        <v>444.21916674973909</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5">
      <c r="C27" s="26" t="str">
        <f>'MP Calculations'!D55</f>
        <v>2010-11</v>
      </c>
      <c r="D27" s="177">
        <f>IF(LEFT($C27,4)*1&lt;LEFT('General inputs'!$I$16,4)+'General inputs'!$H$38,SUM(G27,J27,M27,P27,S27,V27,Y27,AB27,AE27,AH27),"")</f>
        <v>447.21453659111285</v>
      </c>
      <c r="F27" s="32">
        <v>447.21453659111285</v>
      </c>
      <c r="G27" s="177">
        <f t="shared" si="9"/>
        <v>447.21453659111285</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5">
      <c r="C28" s="26" t="str">
        <f>'MP Calculations'!D56</f>
        <v>2011-12</v>
      </c>
      <c r="D28" s="177">
        <f>IF(LEFT($C28,4)*1&lt;LEFT('General inputs'!$I$16,4)+'General inputs'!$H$38,SUM(G28,J28,M28,P28,S28,V28,Y28,AB28,AE28,AH28),"")</f>
        <v>450.23010421135405</v>
      </c>
      <c r="F28" s="32">
        <v>450.23010421135405</v>
      </c>
      <c r="G28" s="177">
        <f t="shared" si="9"/>
        <v>450.23010421135405</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5">
      <c r="C29" s="26" t="str">
        <f>'MP Calculations'!D57</f>
        <v>2012-13</v>
      </c>
      <c r="D29" s="177">
        <f>IF(LEFT($C29,4)*1&lt;LEFT('General inputs'!$I$16,4)+'General inputs'!$H$38,SUM(G29,J29,M29,P29,S29,V29,Y29,AB29,AE29,AH29),"")</f>
        <v>453.2660058040492</v>
      </c>
      <c r="F29" s="32">
        <v>453.2660058040492</v>
      </c>
      <c r="G29" s="177">
        <f t="shared" si="9"/>
        <v>453.2660058040492</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5">
      <c r="C30" s="26" t="str">
        <f>'MP Calculations'!D58</f>
        <v>2013-14</v>
      </c>
      <c r="D30" s="177">
        <f>IF(LEFT($C30,4)*1&lt;LEFT('General inputs'!$I$16,4)+'General inputs'!$H$38,SUM(G30,J30,M30,P30,S30,V30,Y30,AB30,AE30,AH30),"")</f>
        <v>456.32237848119985</v>
      </c>
      <c r="F30" s="32">
        <v>456.32237848119985</v>
      </c>
      <c r="G30" s="177">
        <f t="shared" si="9"/>
        <v>456.32237848119985</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5">
      <c r="C31" s="26" t="str">
        <f>'MP Calculations'!D59</f>
        <v>2014-15</v>
      </c>
      <c r="D31" s="177">
        <f>IF(LEFT($C31,4)*1&lt;LEFT('General inputs'!$I$16,4)+'General inputs'!$H$38,SUM(G31,J31,M31,P31,S31,V31,Y31,AB31,AE31,AH31),"")</f>
        <v>459.3993602792907</v>
      </c>
      <c r="F31" s="32">
        <v>459.3993602792907</v>
      </c>
      <c r="G31" s="177">
        <f t="shared" si="9"/>
        <v>459.3993602792907</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5">
      <c r="C32" s="26" t="str">
        <f>'MP Calculations'!D60</f>
        <v>2015-16</v>
      </c>
      <c r="D32" s="177">
        <f>IF(LEFT($C32,4)*1&lt;LEFT('General inputs'!$I$16,4)+'General inputs'!$H$38,SUM(G32,J32,M32,P32,S32,V32,Y32,AB32,AE32,AH32),"")</f>
        <v>462.49709016564884</v>
      </c>
      <c r="F32" s="32">
        <v>462.49709016564884</v>
      </c>
      <c r="G32" s="177">
        <f t="shared" si="9"/>
        <v>462.49709016564884</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5">
      <c r="C33" s="26" t="str">
        <f>'MP Calculations'!D61</f>
        <v>2016-17</v>
      </c>
      <c r="D33" s="177">
        <f>IF(LEFT($C33,4)*1&lt;LEFT('General inputs'!$I$16,4)+'General inputs'!$H$38,SUM(G33,J33,M33,P33,S33,V33,Y33,AB33,AE33,AH33),"")</f>
        <v>465.61570804464282</v>
      </c>
      <c r="F33" s="32">
        <v>465.61570804464282</v>
      </c>
      <c r="G33" s="177">
        <f t="shared" si="9"/>
        <v>465.61570804464282</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5">
      <c r="C34" s="26" t="str">
        <f>'MP Calculations'!D62</f>
        <v>2017-18</v>
      </c>
      <c r="D34" s="177">
        <f>IF(LEFT($C34,4)*1&lt;LEFT('General inputs'!$I$16,4)+'General inputs'!$H$38,SUM(G34,J34,M34,P34,S34,V34,Y34,AB34,AE34,AH34),"")</f>
        <v>468.75535476398363</v>
      </c>
      <c r="F34" s="32">
        <v>468.75535476398363</v>
      </c>
      <c r="G34" s="177">
        <f t="shared" si="9"/>
        <v>468.75535476398363</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5">
      <c r="C35" s="26" t="str">
        <f>'MP Calculations'!D63</f>
        <v>2018-19</v>
      </c>
      <c r="D35" s="177">
        <f>IF(LEFT($C35,4)*1&lt;LEFT('General inputs'!$I$16,4)+'General inputs'!$H$38,SUM(G35,J35,M35,P35,S35,V35,Y35,AB35,AE35,AH35),"")</f>
        <v>471.91617212115671</v>
      </c>
      <c r="F35" s="32">
        <v>471.91617212115671</v>
      </c>
      <c r="G35" s="177">
        <f t="shared" si="9"/>
        <v>471.91617212115671</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5">
      <c r="C36" s="26" t="str">
        <f>'MP Calculations'!D64</f>
        <v>2019-20</v>
      </c>
      <c r="D36" s="177">
        <f>IF(LEFT($C36,4)*1&lt;LEFT('General inputs'!$I$16,4)+'General inputs'!$H$38,SUM(G36,J36,M36,P36,S36,V36,Y36,AB36,AE36,AH36),"")</f>
        <v>475.09830286978104</v>
      </c>
      <c r="F36" s="32">
        <v>475.09830286978104</v>
      </c>
      <c r="G36" s="177">
        <f t="shared" si="9"/>
        <v>475.09830286978104</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5">
      <c r="C37" s="26" t="str">
        <f>'MP Calculations'!D65</f>
        <v>2020-21</v>
      </c>
      <c r="D37" s="177">
        <f>IF(LEFT($C37,4)*1&lt;LEFT('General inputs'!$I$16,4)+'General inputs'!$H$38,SUM(G37,J37,M37,P37,S37,V37,Y37,AB37,AE37,AH37),"")</f>
        <v>478.30189072601206</v>
      </c>
      <c r="F37" s="32">
        <v>478.30189072601206</v>
      </c>
      <c r="G37" s="177">
        <f t="shared" si="9"/>
        <v>478.30189072601206</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5">
      <c r="C38" s="26" t="str">
        <f>'MP Calculations'!D66</f>
        <v>2021-22</v>
      </c>
      <c r="D38" s="177">
        <f>IF(LEFT($C38,4)*1&lt;LEFT('General inputs'!$I$16,4)+'General inputs'!$H$38,SUM(G38,J38,M38,P38,S38,V38,Y38,AB38,AE38,AH38),"")</f>
        <v>481.52708037517732</v>
      </c>
      <c r="F38" s="32">
        <v>481.52708037517732</v>
      </c>
      <c r="G38" s="177">
        <f t="shared" si="9"/>
        <v>481.52708037517732</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5">
      <c r="C39" s="26" t="str">
        <f>'MP Calculations'!D67</f>
        <v>2022-23</v>
      </c>
      <c r="D39" s="177">
        <f>IF(LEFT($C39,4)*1&lt;LEFT('General inputs'!$I$16,4)+'General inputs'!$H$38,SUM(G39,J39,M39,P39,S39,V39,Y39,AB39,AE39,AH39),"")</f>
        <v>484.77401747816475</v>
      </c>
      <c r="F39" s="32">
        <v>484.77401747816475</v>
      </c>
      <c r="G39" s="177">
        <f t="shared" si="9"/>
        <v>484.77401747816475</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5">
      <c r="C40" s="26" t="str">
        <f>'MP Calculations'!D68</f>
        <v>2023-24</v>
      </c>
      <c r="D40" s="177">
        <f>IF(LEFT($C40,4)*1&lt;LEFT('General inputs'!$I$16,4)+'General inputs'!$H$38,SUM(G40,J40,M40,P40,S40,V40,Y40,AB40,AE40,AH40),"")</f>
        <v>488.04284867801471</v>
      </c>
      <c r="F40" s="32">
        <v>488.04284867801471</v>
      </c>
      <c r="G40" s="177">
        <f t="shared" si="9"/>
        <v>488.04284867801471</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5">
      <c r="C41" s="26" t="str">
        <f>'MP Calculations'!D69</f>
        <v>2024-25</v>
      </c>
      <c r="D41" s="177">
        <f>IF(LEFT($C41,4)*1&lt;LEFT('General inputs'!$I$16,4)+'General inputs'!$H$38,SUM(G41,J41,M41,P41,S41,V41,Y41,AB41,AE41,AH41),"")</f>
        <v>491.33372160664294</v>
      </c>
      <c r="F41" s="32">
        <v>491.33372160664294</v>
      </c>
      <c r="G41" s="177">
        <f t="shared" si="9"/>
        <v>491.33372160664294</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5">
      <c r="C42" s="26" t="str">
        <f>'MP Calculations'!D70</f>
        <v>2025-26</v>
      </c>
      <c r="D42" s="177">
        <f>IF(LEFT($C42,4)*1&lt;LEFT('General inputs'!$I$16,4)+'General inputs'!$H$38,SUM(G42,J42,M42,P42,S42,V42,Y42,AB42,AE42,AH42),"")</f>
        <v>494.64678489144717</v>
      </c>
      <c r="F42" s="32">
        <v>494.64678489144717</v>
      </c>
      <c r="G42" s="177">
        <f t="shared" si="9"/>
        <v>494.64678489144717</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5">
      <c r="C43" s="26" t="str">
        <f>'MP Calculations'!D71</f>
        <v>2026-27</v>
      </c>
      <c r="D43" s="177">
        <f>IF(LEFT($C43,4)*1&lt;LEFT('General inputs'!$I$16,4)+'General inputs'!$H$38,SUM(G43,J43,M43,P43,S43,V43,Y43,AB43,AE43,AH43),"")</f>
        <v>497.98218816195731</v>
      </c>
      <c r="F43" s="32">
        <v>497.98218816195731</v>
      </c>
      <c r="G43" s="177">
        <f t="shared" si="9"/>
        <v>497.98218816195731</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5">
      <c r="C44" s="26" t="str">
        <f>'MP Calculations'!D72</f>
        <v>2027-28</v>
      </c>
      <c r="D44" s="177">
        <f>IF(LEFT($C44,4)*1&lt;LEFT('General inputs'!$I$16,4)+'General inputs'!$H$38,SUM(G44,J44,M44,P44,S44,V44,Y44,AB44,AE44,AH44),"")</f>
        <v>501.34008205674763</v>
      </c>
      <c r="F44" s="32">
        <v>501.34008205674763</v>
      </c>
      <c r="G44" s="177">
        <f t="shared" ref="G44:G75" si="11">F44*$G$9/$F$6</f>
        <v>501.34008205674763</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5">
      <c r="C45" s="26" t="str">
        <f>'MP Calculations'!D73</f>
        <v>2028-29</v>
      </c>
      <c r="D45" s="177">
        <f>IF(LEFT($C45,4)*1&lt;LEFT('General inputs'!$I$16,4)+'General inputs'!$H$38,SUM(G45,J45,M45,P45,S45,V45,Y45,AB45,AE45,AH45),"")</f>
        <v>504.72061823005788</v>
      </c>
      <c r="F45" s="32">
        <v>504.72061823005788</v>
      </c>
      <c r="G45" s="177">
        <f t="shared" si="11"/>
        <v>504.72061823005788</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5">
      <c r="C46" s="26" t="str">
        <f>'MP Calculations'!D74</f>
        <v>2029-30</v>
      </c>
      <c r="D46" s="177">
        <f>IF(LEFT($C46,4)*1&lt;LEFT('General inputs'!$I$16,4)+'General inputs'!$H$38,SUM(G46,J46,M46,P46,S46,V46,Y46,AB46,AE46,AH46),"")</f>
        <v>508.12394935877819</v>
      </c>
      <c r="F46" s="32">
        <v>508.12394935877819</v>
      </c>
      <c r="G46" s="177">
        <f t="shared" si="11"/>
        <v>508.12394935877819</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5">
      <c r="C47" s="26" t="str">
        <f>'MP Calculations'!D75</f>
        <v>2030-31</v>
      </c>
      <c r="D47" s="177">
        <f>IF(LEFT($C47,4)*1&lt;LEFT('General inputs'!$I$16,4)+'General inputs'!$H$38,SUM(G47,J47,M47,P47,S47,V47,Y47,AB47,AE47,AH47),"")</f>
        <v>511.5502291492885</v>
      </c>
      <c r="F47" s="32">
        <v>511.5502291492885</v>
      </c>
      <c r="G47" s="177">
        <f t="shared" si="11"/>
        <v>511.5502291492885</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5">
      <c r="C48" s="26" t="str">
        <f>'MP Calculations'!D76</f>
        <v>2031-32</v>
      </c>
      <c r="D48" s="177">
        <f>IF(LEFT($C48,4)*1&lt;LEFT('General inputs'!$I$16,4)+'General inputs'!$H$38,SUM(G48,J48,M48,P48,S48,V48,Y48,AB48,AE48,AH48),"")</f>
        <v>514.999612344458</v>
      </c>
      <c r="F48" s="32">
        <v>514.999612344458</v>
      </c>
      <c r="G48" s="177">
        <f t="shared" si="11"/>
        <v>514.999612344458</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5">
      <c r="C49" s="26" t="str">
        <f>'MP Calculations'!D77</f>
        <v>2032-33</v>
      </c>
      <c r="D49" s="177">
        <f>IF(LEFT($C49,4)*1&lt;LEFT('General inputs'!$I$16,4)+'General inputs'!$H$38,SUM(G49,J49,M49,P49,S49,V49,Y49,AB49,AE49,AH49),"")</f>
        <v>518.47225473049912</v>
      </c>
      <c r="F49" s="32">
        <v>518.47225473049912</v>
      </c>
      <c r="G49" s="177">
        <f t="shared" si="11"/>
        <v>518.47225473049912</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5">
      <c r="C50" s="26" t="str">
        <f>'MP Calculations'!D78</f>
        <v>2033-34</v>
      </c>
      <c r="D50" s="177">
        <f>IF(LEFT($C50,4)*1&lt;LEFT('General inputs'!$I$16,4)+'General inputs'!$H$38,SUM(G50,J50,M50,P50,S50,V50,Y50,AB50,AE50,AH50),"")</f>
        <v>521.96831314414158</v>
      </c>
      <c r="F50" s="32">
        <v>521.96831314414158</v>
      </c>
      <c r="G50" s="177">
        <f t="shared" si="11"/>
        <v>521.96831314414158</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5">
      <c r="C51" s="26" t="str">
        <f>'MP Calculations'!D79</f>
        <v>2034-35</v>
      </c>
      <c r="D51" s="177">
        <f>IF(LEFT($C51,4)*1&lt;LEFT('General inputs'!$I$16,4)+'General inputs'!$H$38,SUM(G51,J51,M51,P51,S51,V51,Y51,AB51,AE51,AH51),"")</f>
        <v>525.48794547967555</v>
      </c>
      <c r="F51" s="32">
        <v>525.48794547967555</v>
      </c>
      <c r="G51" s="177">
        <f t="shared" si="11"/>
        <v>525.48794547967555</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5">
      <c r="C52" s="26" t="str">
        <f>'MP Calculations'!D80</f>
        <v>2035-36</v>
      </c>
      <c r="D52" s="177">
        <f>IF(LEFT($C52,4)*1&lt;LEFT('General inputs'!$I$16,4)+'General inputs'!$H$38,SUM(G52,J52,M52,P52,S52,V52,Y52,AB52,AE52,AH52),"")</f>
        <v>529.03131069603842</v>
      </c>
      <c r="F52" s="32">
        <v>529.03131069603842</v>
      </c>
      <c r="G52" s="177">
        <f t="shared" si="11"/>
        <v>529.03131069603842</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5">
      <c r="C53" s="26" t="str">
        <f>'MP Calculations'!D81</f>
        <v>2036-37</v>
      </c>
      <c r="D53" s="177">
        <f>IF(LEFT($C53,4)*1&lt;LEFT('General inputs'!$I$16,4)+'General inputs'!$H$38,SUM(G53,J53,M53,P53,S53,V53,Y53,AB53,AE53,AH53),"")</f>
        <v>532.59856882407621</v>
      </c>
      <c r="F53" s="32">
        <v>532.59856882407621</v>
      </c>
      <c r="G53" s="177">
        <f t="shared" si="11"/>
        <v>532.59856882407621</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5">
      <c r="C54" s="26" t="str">
        <f>'MP Calculations'!D82</f>
        <v>2037-38</v>
      </c>
      <c r="D54" s="177">
        <f>IF(LEFT($C54,4)*1&lt;LEFT('General inputs'!$I$16,4)+'General inputs'!$H$38,SUM(G54,J54,M54,P54,S54,V54,Y54,AB54,AE54,AH54),"")</f>
        <v>536.1898809736449</v>
      </c>
      <c r="F54" s="32">
        <v>536.1898809736449</v>
      </c>
      <c r="G54" s="177">
        <f t="shared" si="11"/>
        <v>536.1898809736449</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5">
      <c r="C55" s="26" t="str">
        <f>'MP Calculations'!D83</f>
        <v>2038-39</v>
      </c>
      <c r="D55" s="177">
        <f>IF(LEFT($C55,4)*1&lt;LEFT('General inputs'!$I$16,4)+'General inputs'!$H$38,SUM(G55,J55,M55,P55,S55,V55,Y55,AB55,AE55,AH55),"")</f>
        <v>539.80540934104647</v>
      </c>
      <c r="F55" s="32">
        <v>539.80540934104647</v>
      </c>
      <c r="G55" s="177">
        <f t="shared" si="11"/>
        <v>539.80540934104647</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5">
      <c r="C56" s="26" t="str">
        <f>'MP Calculations'!D84</f>
        <v>2039-40</v>
      </c>
      <c r="D56" s="177">
        <f>IF(LEFT($C56,4)*1&lt;LEFT('General inputs'!$I$16,4)+'General inputs'!$H$38,SUM(G56,J56,M56,P56,S56,V56,Y56,AB56,AE56,AH56),"")</f>
        <v>543.44531721624662</v>
      </c>
      <c r="F56" s="32">
        <v>543.44531721624662</v>
      </c>
      <c r="G56" s="177">
        <f t="shared" si="11"/>
        <v>543.44531721624662</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5">
      <c r="C57" s="26" t="str">
        <f>'MP Calculations'!D85</f>
        <v>2040-41</v>
      </c>
      <c r="D57" s="177">
        <f>IF(LEFT($C57,4)*1&lt;LEFT('General inputs'!$I$16,4)+'General inputs'!$H$38,SUM(G57,J57,M57,P57,S57,V57,Y57,AB57,AE57,AH57),"")</f>
        <v>547.10976899022353</v>
      </c>
      <c r="F57" s="32">
        <v>547.10976899022353</v>
      </c>
      <c r="G57" s="177">
        <f t="shared" si="11"/>
        <v>547.10976899022353</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5">
      <c r="C58" s="26" t="str">
        <f>'MP Calculations'!D86</f>
        <v>2041-42</v>
      </c>
      <c r="D58" s="177">
        <f>IF(LEFT($C58,4)*1&lt;LEFT('General inputs'!$I$16,4)+'General inputs'!$H$38,SUM(G58,J58,M58,P58,S58,V58,Y58,AB58,AE58,AH58),"")</f>
        <v>550.79893016253482</v>
      </c>
      <c r="F58" s="32">
        <v>550.79893016253482</v>
      </c>
      <c r="G58" s="177">
        <f t="shared" si="11"/>
        <v>550.79893016253482</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5">
      <c r="C59" s="26" t="str">
        <f>'MP Calculations'!D87</f>
        <v>2042-43</v>
      </c>
      <c r="D59" s="177">
        <f>IF(LEFT($C59,4)*1&lt;LEFT('General inputs'!$I$16,4)+'General inputs'!$H$38,SUM(G59,J59,M59,P59,S59,V59,Y59,AB59,AE59,AH59),"")</f>
        <v>554.51296734860807</v>
      </c>
      <c r="F59" s="32">
        <v>554.51296734860807</v>
      </c>
      <c r="G59" s="177">
        <f t="shared" si="11"/>
        <v>554.51296734860807</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5">
      <c r="C60" s="26" t="str">
        <f>'MP Calculations'!D88</f>
        <v>2043-44</v>
      </c>
      <c r="D60" s="177">
        <f>IF(LEFT($C60,4)*1&lt;LEFT('General inputs'!$I$16,4)+'General inputs'!$H$38,SUM(G60,J60,M60,P60,S60,V60,Y60,AB60,AE60,AH60),"")</f>
        <v>558.25204828745336</v>
      </c>
      <c r="F60" s="32">
        <v>558.25204828745336</v>
      </c>
      <c r="G60" s="177">
        <f t="shared" si="11"/>
        <v>558.25204828745336</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5">
      <c r="C61" s="26" t="str">
        <f>'MP Calculations'!D89</f>
        <v>2044-45</v>
      </c>
      <c r="D61" s="177">
        <f>IF(LEFT($C61,4)*1&lt;LEFT('General inputs'!$I$16,4)+'General inputs'!$H$38,SUM(G61,J61,M61,P61,S61,V61,Y61,AB61,AE61,AH61),"")</f>
        <v>562.01634184905561</v>
      </c>
      <c r="F61" s="32">
        <v>562.01634184905561</v>
      </c>
      <c r="G61" s="177">
        <f t="shared" si="11"/>
        <v>562.01634184905561</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5">
      <c r="C62" s="26" t="str">
        <f>'MP Calculations'!D90</f>
        <v>2045-46</v>
      </c>
      <c r="D62" s="177">
        <f>IF(LEFT($C62,4)*1&lt;LEFT('General inputs'!$I$16,4)+'General inputs'!$H$38,SUM(G62,J62,M62,P62,S62,V62,Y62,AB62,AE62,AH62),"")</f>
        <v>565.80601804213075</v>
      </c>
      <c r="F62" s="32">
        <v>565.80601804213075</v>
      </c>
      <c r="G62" s="177">
        <f t="shared" si="11"/>
        <v>565.80601804213075</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5">
      <c r="C63" s="26" t="str">
        <f>'MP Calculations'!D91</f>
        <v>2046-47</v>
      </c>
      <c r="D63" s="177">
        <f>IF(LEFT($C63,4)*1&lt;LEFT('General inputs'!$I$16,4)+'General inputs'!$H$38,SUM(G63,J63,M63,P63,S63,V63,Y63,AB63,AE63,AH63),"")</f>
        <v>569.6212480217946</v>
      </c>
      <c r="F63" s="32">
        <v>569.6212480217946</v>
      </c>
      <c r="G63" s="177">
        <f t="shared" si="11"/>
        <v>569.6212480217946</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5">
      <c r="C64" s="26" t="str">
        <f>'MP Calculations'!D92</f>
        <v>2047-48</v>
      </c>
      <c r="D64" s="177">
        <f>IF(LEFT($C64,4)*1&lt;LEFT('General inputs'!$I$16,4)+'General inputs'!$H$38,SUM(G64,J64,M64,P64,S64,V64,Y64,AB64,AE64,AH64),"")</f>
        <v>573.46220409720263</v>
      </c>
      <c r="F64" s="32">
        <v>573.46220409720263</v>
      </c>
      <c r="G64" s="177">
        <f t="shared" si="11"/>
        <v>573.46220409720263</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5">
      <c r="C65" s="26" t="str">
        <f>'MP Calculations'!D93</f>
        <v>2048-49</v>
      </c>
      <c r="D65" s="177">
        <f>IF(LEFT($C65,4)*1&lt;LEFT('General inputs'!$I$16,4)+'General inputs'!$H$38,SUM(G65,J65,M65,P65,S65,V65,Y65,AB65,AE65,AH65),"")</f>
        <v>577.32905973943707</v>
      </c>
      <c r="F65" s="32">
        <v>577.32905973943707</v>
      </c>
      <c r="G65" s="177">
        <f t="shared" si="11"/>
        <v>577.32905973943707</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Calculations'!D94</f>
        <v>2049-50</v>
      </c>
      <c r="D66" s="177">
        <f>IF(LEFT($C66,4)*1&lt;LEFT('General inputs'!$I$16,4)+'General inputs'!$H$38,SUM(G66,J66,M66,P66,S66,V66,Y66,AB66,AE66,AH66),"")</f>
        <v>581.2219895892631</v>
      </c>
      <c r="F66" s="32">
        <v>581.2219895892631</v>
      </c>
      <c r="G66" s="177">
        <f t="shared" si="11"/>
        <v>581.2219895892631</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Calculations'!D95</f>
        <v>2050-51</v>
      </c>
      <c r="D67" s="177">
        <f>IF(LEFT($C67,4)*1&lt;LEFT('General inputs'!$I$16,4)+'General inputs'!$H$38,SUM(G67,J67,M67,P67,S67,V67,Y67,AB67,AE67,AH67),"")</f>
        <v>585.1411694650451</v>
      </c>
      <c r="F67" s="32">
        <v>585.1411694650451</v>
      </c>
      <c r="G67" s="177">
        <f t="shared" si="11"/>
        <v>585.1411694650451</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Calculations'!D96</f>
        <v>2051-52</v>
      </c>
      <c r="D68" s="177">
        <f>IF(LEFT($C68,4)*1&lt;LEFT('General inputs'!$I$16,4)+'General inputs'!$H$38,SUM(G68,J68,M68,P68,S68,V68,Y68,AB68,AE68,AH68),"")</f>
        <v>589.08677637076471</v>
      </c>
      <c r="F68" s="32">
        <v>589.08677637076471</v>
      </c>
      <c r="G68" s="177">
        <f t="shared" si="11"/>
        <v>589.08677637076471</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ignoredErrors>
    <ignoredError sqref="F1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2" zoomScaleNormal="100" workbookViewId="0">
      <selection activeCell="G40" sqref="G40:Z69"/>
    </sheetView>
  </sheetViews>
  <sheetFormatPr defaultRowHeight="11.5" x14ac:dyDescent="0.25"/>
  <cols>
    <col min="1" max="2" width="2.69921875" customWidth="1"/>
    <col min="3" max="3" width="5.69921875" customWidth="1"/>
    <col min="7" max="7" width="9.09765625" customWidth="1"/>
    <col min="12" max="12" width="8.8984375" customWidth="1"/>
    <col min="14" max="14" width="8.8984375" customWidth="1"/>
    <col min="17" max="18" width="8.8984375" customWidth="1"/>
  </cols>
  <sheetData>
    <row r="3" spans="3:7" ht="20" x14ac:dyDescent="0.4">
      <c r="C3" s="99" t="s">
        <v>110</v>
      </c>
    </row>
    <row r="6" spans="3:7" x14ac:dyDescent="0.25">
      <c r="C6" t="s">
        <v>194</v>
      </c>
      <c r="G6" s="155" t="s">
        <v>268</v>
      </c>
    </row>
    <row r="8" spans="3:7" ht="13.5" x14ac:dyDescent="0.35">
      <c r="C8" t="s">
        <v>67</v>
      </c>
    </row>
    <row r="10" spans="3:7" x14ac:dyDescent="0.25">
      <c r="C10" t="s">
        <v>60</v>
      </c>
    </row>
    <row r="12" spans="3:7" ht="13.5" x14ac:dyDescent="0.35">
      <c r="C12" s="26" t="s">
        <v>62</v>
      </c>
      <c r="D12" s="149" t="s">
        <v>197</v>
      </c>
    </row>
    <row r="13" spans="3:7" ht="13.5" x14ac:dyDescent="0.35">
      <c r="C13" s="26" t="s">
        <v>63</v>
      </c>
      <c r="D13" s="149" t="s">
        <v>198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5">
      <c r="C19" s="26"/>
    </row>
    <row r="20" spans="1:31" ht="13.5" x14ac:dyDescent="0.35">
      <c r="C20" t="s">
        <v>81</v>
      </c>
      <c r="G20" t="s">
        <v>82</v>
      </c>
      <c r="H20" s="132" t="str">
        <f>'General inputs'!I16</f>
        <v>2022-23</v>
      </c>
      <c r="J20" t="s">
        <v>83</v>
      </c>
      <c r="K20" s="133" t="str">
        <f>LEFT(H20,4)+'General inputs'!$H$38-1&amp;"-"&amp;RIGHT(H20,2)+'General inputs'!$H$38-1</f>
        <v>2051-52</v>
      </c>
    </row>
    <row r="21" spans="1:31" x14ac:dyDescent="0.25">
      <c r="C21" s="26"/>
    </row>
    <row r="22" spans="1:31" x14ac:dyDescent="0.25">
      <c r="C22" s="65" t="s">
        <v>130</v>
      </c>
    </row>
    <row r="23" spans="1:31" x14ac:dyDescent="0.25">
      <c r="C23" s="65"/>
      <c r="D23" s="65" t="s">
        <v>131</v>
      </c>
    </row>
    <row r="24" spans="1:31" x14ac:dyDescent="0.25">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5">
      <c r="C25" s="65"/>
      <c r="D25" s="65" t="s">
        <v>246</v>
      </c>
    </row>
    <row r="26" spans="1:31" x14ac:dyDescent="0.25">
      <c r="C26" s="65"/>
      <c r="D26" s="157" t="s">
        <v>248</v>
      </c>
    </row>
    <row r="27" spans="1:31" x14ac:dyDescent="0.25">
      <c r="C27" s="65"/>
      <c r="D27" s="157" t="s">
        <v>247</v>
      </c>
    </row>
    <row r="28" spans="1:31" x14ac:dyDescent="0.25">
      <c r="C28" s="65"/>
      <c r="D28" s="65" t="s">
        <v>249</v>
      </c>
    </row>
    <row r="29" spans="1:31" x14ac:dyDescent="0.25">
      <c r="C29" s="65"/>
      <c r="D29" s="157" t="s">
        <v>250</v>
      </c>
    </row>
    <row r="30" spans="1:31" x14ac:dyDescent="0.25">
      <c r="C30" s="65"/>
      <c r="D30" s="157" t="s">
        <v>251</v>
      </c>
    </row>
    <row r="32" spans="1:31" x14ac:dyDescent="0.25">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5">
      <c r="D34" t="s">
        <v>275</v>
      </c>
    </row>
    <row r="37" spans="3:26" ht="34.5" x14ac:dyDescent="0.25">
      <c r="E37" s="238" t="s">
        <v>950</v>
      </c>
      <c r="G37" s="251" t="s">
        <v>951</v>
      </c>
      <c r="H37" s="251"/>
      <c r="I37" s="251"/>
      <c r="J37" s="251"/>
      <c r="K37" s="251"/>
      <c r="L37" s="251"/>
      <c r="M37" s="251"/>
      <c r="N37" s="251"/>
      <c r="O37" s="251"/>
      <c r="P37" s="251"/>
      <c r="Q37" s="251"/>
      <c r="R37" s="251"/>
      <c r="S37" s="251"/>
      <c r="T37" s="251"/>
      <c r="U37" s="251"/>
      <c r="V37" s="251"/>
      <c r="W37" s="251"/>
      <c r="X37" s="251"/>
      <c r="Y37" s="251"/>
      <c r="Z37" s="251"/>
    </row>
    <row r="38" spans="3:26" ht="23" x14ac:dyDescent="0.25">
      <c r="E38" s="239" t="s">
        <v>952</v>
      </c>
      <c r="G38" s="239" t="s">
        <v>953</v>
      </c>
      <c r="H38" s="239" t="s">
        <v>954</v>
      </c>
      <c r="I38" s="239" t="s">
        <v>955</v>
      </c>
      <c r="J38" s="239" t="s">
        <v>279</v>
      </c>
      <c r="K38" s="239" t="s">
        <v>956</v>
      </c>
      <c r="L38" s="239" t="s">
        <v>957</v>
      </c>
      <c r="M38" s="239" t="s">
        <v>958</v>
      </c>
      <c r="N38" s="239" t="s">
        <v>959</v>
      </c>
      <c r="O38" s="239" t="s">
        <v>960</v>
      </c>
      <c r="P38" s="239" t="s">
        <v>961</v>
      </c>
      <c r="Q38" s="239" t="s">
        <v>962</v>
      </c>
      <c r="R38" s="239" t="s">
        <v>963</v>
      </c>
      <c r="S38" s="239" t="s">
        <v>964</v>
      </c>
      <c r="T38" s="239" t="s">
        <v>965</v>
      </c>
      <c r="U38" s="239" t="s">
        <v>966</v>
      </c>
      <c r="V38" s="239" t="s">
        <v>967</v>
      </c>
      <c r="W38" s="239" t="s">
        <v>968</v>
      </c>
      <c r="X38" s="239" t="s">
        <v>969</v>
      </c>
      <c r="Y38" s="239" t="s">
        <v>970</v>
      </c>
      <c r="Z38" s="239" t="s">
        <v>971</v>
      </c>
    </row>
    <row r="40" spans="3:26" x14ac:dyDescent="0.25">
      <c r="C40">
        <v>2023</v>
      </c>
      <c r="E40">
        <v>694.43</v>
      </c>
      <c r="G40" s="240">
        <v>248.97</v>
      </c>
      <c r="H40" s="240">
        <v>261.66000000000003</v>
      </c>
      <c r="I40" s="240">
        <v>830.18</v>
      </c>
      <c r="J40" s="240">
        <v>201.6</v>
      </c>
      <c r="K40" s="240">
        <v>492.01</v>
      </c>
      <c r="L40" s="240">
        <v>1153.69</v>
      </c>
      <c r="M40" s="240">
        <v>316.24</v>
      </c>
      <c r="N40" s="240">
        <v>1342.61</v>
      </c>
      <c r="O40" s="240">
        <v>255.87</v>
      </c>
      <c r="P40" s="240">
        <v>443.02</v>
      </c>
      <c r="Q40" s="240">
        <v>1275.32</v>
      </c>
      <c r="R40" s="240">
        <v>495.08</v>
      </c>
      <c r="S40" s="240">
        <v>520.58000000000004</v>
      </c>
      <c r="T40" s="240">
        <v>314.37</v>
      </c>
      <c r="U40" s="240">
        <v>902.44</v>
      </c>
      <c r="V40" s="240">
        <v>464.42</v>
      </c>
      <c r="W40" s="240">
        <v>341.59</v>
      </c>
      <c r="X40" s="240">
        <v>661.91</v>
      </c>
      <c r="Y40" s="240">
        <v>216.95</v>
      </c>
      <c r="Z40" s="240">
        <v>0</v>
      </c>
    </row>
    <row r="41" spans="3:26" x14ac:dyDescent="0.25">
      <c r="C41">
        <v>2024</v>
      </c>
      <c r="E41">
        <v>694.43</v>
      </c>
      <c r="G41" s="240">
        <v>240.88</v>
      </c>
      <c r="H41" s="240">
        <v>251.56</v>
      </c>
      <c r="I41" s="240">
        <v>739.66</v>
      </c>
      <c r="J41" s="240">
        <v>194.31</v>
      </c>
      <c r="K41" s="240">
        <v>476.49</v>
      </c>
      <c r="L41" s="240">
        <v>1041.42</v>
      </c>
      <c r="M41" s="240">
        <v>298.08999999999997</v>
      </c>
      <c r="N41" s="240">
        <v>1279.71</v>
      </c>
      <c r="O41" s="240">
        <v>241.09</v>
      </c>
      <c r="P41" s="240">
        <v>412.76</v>
      </c>
      <c r="Q41" s="240">
        <v>1180.73</v>
      </c>
      <c r="R41" s="240">
        <v>467.05</v>
      </c>
      <c r="S41" s="240">
        <v>511.52</v>
      </c>
      <c r="T41" s="240">
        <v>299.58999999999997</v>
      </c>
      <c r="U41" s="240">
        <v>844.22</v>
      </c>
      <c r="V41" s="240">
        <v>442.2</v>
      </c>
      <c r="W41" s="240">
        <v>320.52</v>
      </c>
      <c r="X41" s="240">
        <v>636.79</v>
      </c>
      <c r="Y41" s="240">
        <v>248.96</v>
      </c>
      <c r="Z41" s="240">
        <v>0</v>
      </c>
    </row>
    <row r="42" spans="3:26" x14ac:dyDescent="0.25">
      <c r="C42">
        <v>2025</v>
      </c>
      <c r="E42">
        <v>694.43</v>
      </c>
      <c r="G42" s="240">
        <v>241.82</v>
      </c>
      <c r="H42" s="240">
        <v>252.58</v>
      </c>
      <c r="I42" s="240">
        <v>729.09</v>
      </c>
      <c r="J42" s="240">
        <v>195.1</v>
      </c>
      <c r="K42" s="240">
        <v>482.42</v>
      </c>
      <c r="L42" s="240">
        <v>1224.27</v>
      </c>
      <c r="M42" s="240">
        <v>293.10000000000002</v>
      </c>
      <c r="N42" s="240">
        <v>1268.1600000000001</v>
      </c>
      <c r="O42" s="240">
        <v>245.54</v>
      </c>
      <c r="P42" s="240">
        <v>396.31</v>
      </c>
      <c r="Q42" s="240">
        <v>1115.25</v>
      </c>
      <c r="R42" s="240">
        <v>1964.98</v>
      </c>
      <c r="S42" s="240">
        <v>490.43</v>
      </c>
      <c r="T42" s="240">
        <v>297.77999999999997</v>
      </c>
      <c r="U42" s="240">
        <v>818.34</v>
      </c>
      <c r="V42" s="240">
        <v>445.65</v>
      </c>
      <c r="W42" s="240">
        <v>319.43</v>
      </c>
      <c r="X42" s="240">
        <v>629.76</v>
      </c>
      <c r="Y42" s="240">
        <v>202.05</v>
      </c>
      <c r="Z42" s="240">
        <v>0</v>
      </c>
    </row>
    <row r="43" spans="3:26" x14ac:dyDescent="0.25">
      <c r="C43">
        <v>2026</v>
      </c>
      <c r="E43">
        <v>694.43</v>
      </c>
      <c r="G43" s="240">
        <v>234.8</v>
      </c>
      <c r="H43" s="240">
        <v>245.11</v>
      </c>
      <c r="I43" s="240">
        <v>723.71</v>
      </c>
      <c r="J43" s="240">
        <v>189.04</v>
      </c>
      <c r="K43" s="240">
        <v>492.73</v>
      </c>
      <c r="L43" s="240">
        <v>1117.6300000000001</v>
      </c>
      <c r="M43" s="240">
        <v>278.99</v>
      </c>
      <c r="N43" s="240">
        <v>1215.69</v>
      </c>
      <c r="O43" s="240">
        <v>231.46</v>
      </c>
      <c r="P43" s="240">
        <v>372.92</v>
      </c>
      <c r="Q43" s="240">
        <v>1041.6400000000001</v>
      </c>
      <c r="R43" s="240">
        <v>435.05</v>
      </c>
      <c r="S43" s="240">
        <v>470.93</v>
      </c>
      <c r="T43" s="240">
        <v>286.38</v>
      </c>
      <c r="U43" s="240">
        <v>768.33</v>
      </c>
      <c r="V43" s="240">
        <v>428.4</v>
      </c>
      <c r="W43" s="240">
        <v>305.16000000000003</v>
      </c>
      <c r="X43" s="240">
        <v>606.47</v>
      </c>
      <c r="Y43" s="240">
        <v>214.14</v>
      </c>
      <c r="Z43" s="240">
        <v>0</v>
      </c>
    </row>
    <row r="44" spans="3:26" x14ac:dyDescent="0.25">
      <c r="C44">
        <v>2027</v>
      </c>
      <c r="E44">
        <v>694.43</v>
      </c>
      <c r="G44" s="240">
        <v>232.77</v>
      </c>
      <c r="H44" s="240">
        <v>244.28</v>
      </c>
      <c r="I44" s="240">
        <v>657</v>
      </c>
      <c r="J44" s="240">
        <v>186.95</v>
      </c>
      <c r="K44" s="240">
        <v>477.71</v>
      </c>
      <c r="L44" s="240">
        <v>829.04</v>
      </c>
      <c r="M44" s="240">
        <v>270.87</v>
      </c>
      <c r="N44" s="240">
        <v>1139.18</v>
      </c>
      <c r="O44" s="240">
        <v>231.35</v>
      </c>
      <c r="P44" s="240">
        <v>361.78</v>
      </c>
      <c r="Q44" s="240">
        <v>990.33</v>
      </c>
      <c r="R44" s="240">
        <v>1817.48</v>
      </c>
      <c r="S44" s="240">
        <v>476.56</v>
      </c>
      <c r="T44" s="240">
        <v>280.52999999999997</v>
      </c>
      <c r="U44" s="240">
        <v>734.54</v>
      </c>
      <c r="V44" s="240">
        <v>415.26</v>
      </c>
      <c r="W44" s="240">
        <v>310.45</v>
      </c>
      <c r="X44" s="240">
        <v>588.65</v>
      </c>
      <c r="Y44" s="240">
        <v>192.21</v>
      </c>
      <c r="Z44" s="240">
        <v>0</v>
      </c>
    </row>
    <row r="45" spans="3:26" x14ac:dyDescent="0.25">
      <c r="C45">
        <v>2028</v>
      </c>
      <c r="E45">
        <v>694.43</v>
      </c>
      <c r="G45" s="240">
        <v>231.19</v>
      </c>
      <c r="H45" s="240">
        <v>242.07</v>
      </c>
      <c r="I45" s="240">
        <v>657.16</v>
      </c>
      <c r="J45" s="240">
        <v>185.89</v>
      </c>
      <c r="K45" s="240">
        <v>455.58</v>
      </c>
      <c r="L45" s="240">
        <v>851.71</v>
      </c>
      <c r="M45" s="240">
        <v>266.13</v>
      </c>
      <c r="N45" s="240">
        <v>1165.93</v>
      </c>
      <c r="O45" s="240">
        <v>228.8</v>
      </c>
      <c r="P45" s="240">
        <v>352.48</v>
      </c>
      <c r="Q45" s="240">
        <v>960.64</v>
      </c>
      <c r="R45" s="240">
        <v>407.46</v>
      </c>
      <c r="S45" s="240">
        <v>462</v>
      </c>
      <c r="T45" s="240">
        <v>278.12</v>
      </c>
      <c r="U45" s="240">
        <v>709.09</v>
      </c>
      <c r="V45" s="240">
        <v>406.28</v>
      </c>
      <c r="W45" s="240">
        <v>294.91000000000003</v>
      </c>
      <c r="X45" s="240">
        <v>594.16999999999996</v>
      </c>
      <c r="Y45" s="240">
        <v>206.09</v>
      </c>
      <c r="Z45" s="240">
        <v>-1.44</v>
      </c>
    </row>
    <row r="46" spans="3:26" x14ac:dyDescent="0.25">
      <c r="C46">
        <v>2029</v>
      </c>
      <c r="E46">
        <v>694.43</v>
      </c>
      <c r="G46" s="240">
        <v>231.19</v>
      </c>
      <c r="H46" s="240">
        <v>242.07</v>
      </c>
      <c r="I46" s="240">
        <v>657.16</v>
      </c>
      <c r="J46" s="240">
        <v>185.89</v>
      </c>
      <c r="K46" s="240">
        <v>455.58</v>
      </c>
      <c r="L46" s="240">
        <v>851.71</v>
      </c>
      <c r="M46" s="240">
        <v>266.13</v>
      </c>
      <c r="N46" s="240">
        <v>1165.93</v>
      </c>
      <c r="O46" s="240">
        <v>228.8</v>
      </c>
      <c r="P46" s="240">
        <v>352.48</v>
      </c>
      <c r="Q46" s="240">
        <v>960.64</v>
      </c>
      <c r="R46" s="240">
        <v>407.46</v>
      </c>
      <c r="S46" s="240">
        <v>462</v>
      </c>
      <c r="T46" s="240">
        <v>278.12</v>
      </c>
      <c r="U46" s="240">
        <v>709.09</v>
      </c>
      <c r="V46" s="240">
        <v>406.28</v>
      </c>
      <c r="W46" s="240">
        <v>294.91000000000003</v>
      </c>
      <c r="X46" s="240">
        <v>594.16999999999996</v>
      </c>
      <c r="Y46" s="240">
        <v>206.09</v>
      </c>
      <c r="Z46" s="240">
        <v>-1.5</v>
      </c>
    </row>
    <row r="47" spans="3:26" x14ac:dyDescent="0.25">
      <c r="C47">
        <v>2030</v>
      </c>
      <c r="E47">
        <v>694.43</v>
      </c>
      <c r="G47" s="240">
        <v>231.19</v>
      </c>
      <c r="H47" s="240">
        <v>242.07</v>
      </c>
      <c r="I47" s="240">
        <v>657.16</v>
      </c>
      <c r="J47" s="240">
        <v>185.89</v>
      </c>
      <c r="K47" s="240">
        <v>455.58</v>
      </c>
      <c r="L47" s="240">
        <v>851.71</v>
      </c>
      <c r="M47" s="240">
        <v>266.13</v>
      </c>
      <c r="N47" s="240">
        <v>1165.93</v>
      </c>
      <c r="O47" s="240">
        <v>228.8</v>
      </c>
      <c r="P47" s="240">
        <v>352.48</v>
      </c>
      <c r="Q47" s="240">
        <v>960.64</v>
      </c>
      <c r="R47" s="240">
        <v>407.46</v>
      </c>
      <c r="S47" s="240">
        <v>462</v>
      </c>
      <c r="T47" s="240">
        <v>278.12</v>
      </c>
      <c r="U47" s="240">
        <v>709.09</v>
      </c>
      <c r="V47" s="240">
        <v>406.28</v>
      </c>
      <c r="W47" s="240">
        <v>294.91000000000003</v>
      </c>
      <c r="X47" s="240">
        <v>594.16999999999996</v>
      </c>
      <c r="Y47" s="240">
        <v>206.09</v>
      </c>
      <c r="Z47" s="240">
        <v>-1.56</v>
      </c>
    </row>
    <row r="48" spans="3:26" x14ac:dyDescent="0.25">
      <c r="C48">
        <v>2031</v>
      </c>
      <c r="E48">
        <v>694.43</v>
      </c>
      <c r="G48" s="240">
        <v>231.19</v>
      </c>
      <c r="H48" s="240">
        <v>242.07</v>
      </c>
      <c r="I48" s="240">
        <v>657.16</v>
      </c>
      <c r="J48" s="240">
        <v>185.89</v>
      </c>
      <c r="K48" s="240">
        <v>455.58</v>
      </c>
      <c r="L48" s="240">
        <v>851.71</v>
      </c>
      <c r="M48" s="240">
        <v>266.13</v>
      </c>
      <c r="N48" s="240">
        <v>1165.93</v>
      </c>
      <c r="O48" s="240">
        <v>228.8</v>
      </c>
      <c r="P48" s="240">
        <v>352.48</v>
      </c>
      <c r="Q48" s="240">
        <v>960.64</v>
      </c>
      <c r="R48" s="240">
        <v>407.46</v>
      </c>
      <c r="S48" s="240">
        <v>462</v>
      </c>
      <c r="T48" s="240">
        <v>278.12</v>
      </c>
      <c r="U48" s="240">
        <v>709.09</v>
      </c>
      <c r="V48" s="240">
        <v>406.28</v>
      </c>
      <c r="W48" s="240">
        <v>294.91000000000003</v>
      </c>
      <c r="X48" s="240">
        <v>594.16999999999996</v>
      </c>
      <c r="Y48" s="240">
        <v>206.09</v>
      </c>
      <c r="Z48" s="240">
        <v>-1.53</v>
      </c>
    </row>
    <row r="49" spans="3:26" x14ac:dyDescent="0.25">
      <c r="C49">
        <v>2032</v>
      </c>
      <c r="E49">
        <v>694.43</v>
      </c>
      <c r="G49" s="240">
        <v>231.19</v>
      </c>
      <c r="H49" s="240">
        <v>242.07</v>
      </c>
      <c r="I49" s="240">
        <v>657.16</v>
      </c>
      <c r="J49" s="240">
        <v>185.89</v>
      </c>
      <c r="K49" s="240">
        <v>455.58</v>
      </c>
      <c r="L49" s="240">
        <v>851.71</v>
      </c>
      <c r="M49" s="240">
        <v>266.13</v>
      </c>
      <c r="N49" s="240">
        <v>1165.93</v>
      </c>
      <c r="O49" s="240">
        <v>228.8</v>
      </c>
      <c r="P49" s="240">
        <v>352.48</v>
      </c>
      <c r="Q49" s="240">
        <v>960.64</v>
      </c>
      <c r="R49" s="240">
        <v>407.46</v>
      </c>
      <c r="S49" s="240">
        <v>462</v>
      </c>
      <c r="T49" s="240">
        <v>278.12</v>
      </c>
      <c r="U49" s="240">
        <v>709.09</v>
      </c>
      <c r="V49" s="240">
        <v>406.28</v>
      </c>
      <c r="W49" s="240">
        <v>294.91000000000003</v>
      </c>
      <c r="X49" s="240">
        <v>594.16999999999996</v>
      </c>
      <c r="Y49" s="240">
        <v>206.09</v>
      </c>
      <c r="Z49" s="240">
        <v>-1.51</v>
      </c>
    </row>
    <row r="50" spans="3:26" x14ac:dyDescent="0.25">
      <c r="C50">
        <v>2033</v>
      </c>
      <c r="E50">
        <v>694.43</v>
      </c>
      <c r="G50" s="240">
        <v>231.19</v>
      </c>
      <c r="H50" s="240">
        <v>242.07</v>
      </c>
      <c r="I50" s="240">
        <v>657.16</v>
      </c>
      <c r="J50" s="240">
        <v>185.89</v>
      </c>
      <c r="K50" s="240">
        <v>455.58</v>
      </c>
      <c r="L50" s="240">
        <v>851.71</v>
      </c>
      <c r="M50" s="240">
        <v>266.13</v>
      </c>
      <c r="N50" s="240">
        <v>1165.93</v>
      </c>
      <c r="O50" s="240">
        <v>228.8</v>
      </c>
      <c r="P50" s="240">
        <v>352.48</v>
      </c>
      <c r="Q50" s="240">
        <v>960.64</v>
      </c>
      <c r="R50" s="240">
        <v>407.46</v>
      </c>
      <c r="S50" s="240">
        <v>462</v>
      </c>
      <c r="T50" s="240">
        <v>278.12</v>
      </c>
      <c r="U50" s="240">
        <v>709.09</v>
      </c>
      <c r="V50" s="240">
        <v>406.28</v>
      </c>
      <c r="W50" s="240">
        <v>294.91000000000003</v>
      </c>
      <c r="X50" s="240">
        <v>594.16999999999996</v>
      </c>
      <c r="Y50" s="240">
        <v>206.09</v>
      </c>
      <c r="Z50" s="240">
        <v>-1.55</v>
      </c>
    </row>
    <row r="51" spans="3:26" x14ac:dyDescent="0.25">
      <c r="C51">
        <v>2034</v>
      </c>
      <c r="E51">
        <v>694.43</v>
      </c>
      <c r="G51" s="240">
        <v>231.19</v>
      </c>
      <c r="H51" s="240">
        <v>242.07</v>
      </c>
      <c r="I51" s="240">
        <v>657.16</v>
      </c>
      <c r="J51" s="240">
        <v>185.89</v>
      </c>
      <c r="K51" s="240">
        <v>455.58</v>
      </c>
      <c r="L51" s="240">
        <v>851.71</v>
      </c>
      <c r="M51" s="240">
        <v>266.13</v>
      </c>
      <c r="N51" s="240">
        <v>1165.93</v>
      </c>
      <c r="O51" s="240">
        <v>228.8</v>
      </c>
      <c r="P51" s="240">
        <v>352.48</v>
      </c>
      <c r="Q51" s="240">
        <v>960.64</v>
      </c>
      <c r="R51" s="240">
        <v>407.46</v>
      </c>
      <c r="S51" s="240">
        <v>462</v>
      </c>
      <c r="T51" s="240">
        <v>278.12</v>
      </c>
      <c r="U51" s="240">
        <v>709.09</v>
      </c>
      <c r="V51" s="240">
        <v>406.28</v>
      </c>
      <c r="W51" s="240">
        <v>294.91000000000003</v>
      </c>
      <c r="X51" s="240">
        <v>594.16999999999996</v>
      </c>
      <c r="Y51" s="240">
        <v>206.09</v>
      </c>
      <c r="Z51" s="240">
        <v>-1.58</v>
      </c>
    </row>
    <row r="52" spans="3:26" x14ac:dyDescent="0.25">
      <c r="C52">
        <v>2035</v>
      </c>
      <c r="E52">
        <v>694.43</v>
      </c>
      <c r="G52" s="240">
        <v>231.19</v>
      </c>
      <c r="H52" s="240">
        <v>242.07</v>
      </c>
      <c r="I52" s="240">
        <v>657.16</v>
      </c>
      <c r="J52" s="240">
        <v>185.89</v>
      </c>
      <c r="K52" s="240">
        <v>455.58</v>
      </c>
      <c r="L52" s="240">
        <v>851.71</v>
      </c>
      <c r="M52" s="240">
        <v>266.13</v>
      </c>
      <c r="N52" s="240">
        <v>1165.93</v>
      </c>
      <c r="O52" s="240">
        <v>228.8</v>
      </c>
      <c r="P52" s="240">
        <v>352.48</v>
      </c>
      <c r="Q52" s="240">
        <v>960.64</v>
      </c>
      <c r="R52" s="240">
        <v>407.46</v>
      </c>
      <c r="S52" s="240">
        <v>462</v>
      </c>
      <c r="T52" s="240">
        <v>278.12</v>
      </c>
      <c r="U52" s="240">
        <v>709.09</v>
      </c>
      <c r="V52" s="240">
        <v>406.28</v>
      </c>
      <c r="W52" s="240">
        <v>294.91000000000003</v>
      </c>
      <c r="X52" s="240">
        <v>594.16999999999996</v>
      </c>
      <c r="Y52" s="240">
        <v>206.09</v>
      </c>
      <c r="Z52" s="240">
        <v>-1.64</v>
      </c>
    </row>
    <row r="53" spans="3:26" x14ac:dyDescent="0.25">
      <c r="C53">
        <v>2036</v>
      </c>
      <c r="E53">
        <v>694.43</v>
      </c>
      <c r="G53" s="240">
        <v>231.19</v>
      </c>
      <c r="H53" s="240">
        <v>242.07</v>
      </c>
      <c r="I53" s="240">
        <v>657.16</v>
      </c>
      <c r="J53" s="240">
        <v>185.89</v>
      </c>
      <c r="K53" s="240">
        <v>455.58</v>
      </c>
      <c r="L53" s="240">
        <v>851.71</v>
      </c>
      <c r="M53" s="240">
        <v>266.13</v>
      </c>
      <c r="N53" s="240">
        <v>1165.93</v>
      </c>
      <c r="O53" s="240">
        <v>228.8</v>
      </c>
      <c r="P53" s="240">
        <v>352.48</v>
      </c>
      <c r="Q53" s="240">
        <v>960.64</v>
      </c>
      <c r="R53" s="240">
        <v>407.46</v>
      </c>
      <c r="S53" s="240">
        <v>462</v>
      </c>
      <c r="T53" s="240">
        <v>278.12</v>
      </c>
      <c r="U53" s="240">
        <v>709.09</v>
      </c>
      <c r="V53" s="240">
        <v>406.28</v>
      </c>
      <c r="W53" s="240">
        <v>294.91000000000003</v>
      </c>
      <c r="X53" s="240">
        <v>594.16999999999996</v>
      </c>
      <c r="Y53" s="240">
        <v>206.09</v>
      </c>
      <c r="Z53" s="240">
        <v>-1.65</v>
      </c>
    </row>
    <row r="54" spans="3:26" x14ac:dyDescent="0.25">
      <c r="C54">
        <v>2037</v>
      </c>
      <c r="E54">
        <v>694.43</v>
      </c>
      <c r="G54" s="240">
        <v>231.19</v>
      </c>
      <c r="H54" s="240">
        <v>242.07</v>
      </c>
      <c r="I54" s="240">
        <v>657.16</v>
      </c>
      <c r="J54" s="240">
        <v>185.89</v>
      </c>
      <c r="K54" s="240">
        <v>455.58</v>
      </c>
      <c r="L54" s="240">
        <v>851.71</v>
      </c>
      <c r="M54" s="240">
        <v>266.13</v>
      </c>
      <c r="N54" s="240">
        <v>1165.93</v>
      </c>
      <c r="O54" s="240">
        <v>228.8</v>
      </c>
      <c r="P54" s="240">
        <v>352.48</v>
      </c>
      <c r="Q54" s="240">
        <v>960.64</v>
      </c>
      <c r="R54" s="240">
        <v>407.46</v>
      </c>
      <c r="S54" s="240">
        <v>462</v>
      </c>
      <c r="T54" s="240">
        <v>278.12</v>
      </c>
      <c r="U54" s="240">
        <v>709.09</v>
      </c>
      <c r="V54" s="240">
        <v>406.28</v>
      </c>
      <c r="W54" s="240">
        <v>294.91000000000003</v>
      </c>
      <c r="X54" s="240">
        <v>594.16999999999996</v>
      </c>
      <c r="Y54" s="240">
        <v>206.09</v>
      </c>
      <c r="Z54" s="240">
        <v>-1.66</v>
      </c>
    </row>
    <row r="55" spans="3:26" x14ac:dyDescent="0.25">
      <c r="C55">
        <v>2038</v>
      </c>
      <c r="E55">
        <v>694.43</v>
      </c>
      <c r="G55" s="240">
        <v>231.19</v>
      </c>
      <c r="H55" s="240">
        <v>242.07</v>
      </c>
      <c r="I55" s="240">
        <v>657.16</v>
      </c>
      <c r="J55" s="240">
        <v>185.89</v>
      </c>
      <c r="K55" s="240">
        <v>455.58</v>
      </c>
      <c r="L55" s="240">
        <v>851.71</v>
      </c>
      <c r="M55" s="240">
        <v>266.13</v>
      </c>
      <c r="N55" s="240">
        <v>1165.93</v>
      </c>
      <c r="O55" s="240">
        <v>228.8</v>
      </c>
      <c r="P55" s="240">
        <v>352.48</v>
      </c>
      <c r="Q55" s="240">
        <v>960.64</v>
      </c>
      <c r="R55" s="240">
        <v>407.46</v>
      </c>
      <c r="S55" s="240">
        <v>462</v>
      </c>
      <c r="T55" s="240">
        <v>278.12</v>
      </c>
      <c r="U55" s="240">
        <v>709.09</v>
      </c>
      <c r="V55" s="240">
        <v>406.28</v>
      </c>
      <c r="W55" s="240">
        <v>294.91000000000003</v>
      </c>
      <c r="X55" s="240">
        <v>594.16999999999996</v>
      </c>
      <c r="Y55" s="240">
        <v>206.09</v>
      </c>
      <c r="Z55" s="240">
        <v>-1.66</v>
      </c>
    </row>
    <row r="56" spans="3:26" x14ac:dyDescent="0.25">
      <c r="C56">
        <v>2039</v>
      </c>
      <c r="E56">
        <v>694.43</v>
      </c>
      <c r="G56" s="240">
        <v>231.19</v>
      </c>
      <c r="H56" s="240">
        <v>242.07</v>
      </c>
      <c r="I56" s="240">
        <v>657.16</v>
      </c>
      <c r="J56" s="240">
        <v>185.89</v>
      </c>
      <c r="K56" s="240">
        <v>455.58</v>
      </c>
      <c r="L56" s="240">
        <v>851.71</v>
      </c>
      <c r="M56" s="240">
        <v>266.13</v>
      </c>
      <c r="N56" s="240">
        <v>1165.93</v>
      </c>
      <c r="O56" s="240">
        <v>228.8</v>
      </c>
      <c r="P56" s="240">
        <v>352.48</v>
      </c>
      <c r="Q56" s="240">
        <v>960.64</v>
      </c>
      <c r="R56" s="240">
        <v>407.46</v>
      </c>
      <c r="S56" s="240">
        <v>462</v>
      </c>
      <c r="T56" s="240">
        <v>278.12</v>
      </c>
      <c r="U56" s="240">
        <v>709.09</v>
      </c>
      <c r="V56" s="240">
        <v>406.28</v>
      </c>
      <c r="W56" s="240">
        <v>294.91000000000003</v>
      </c>
      <c r="X56" s="240">
        <v>594.16999999999996</v>
      </c>
      <c r="Y56" s="240">
        <v>206.09</v>
      </c>
      <c r="Z56" s="240">
        <v>-1.66</v>
      </c>
    </row>
    <row r="57" spans="3:26" x14ac:dyDescent="0.25">
      <c r="C57">
        <v>2040</v>
      </c>
      <c r="E57">
        <v>694.43</v>
      </c>
      <c r="G57" s="240">
        <v>231.19</v>
      </c>
      <c r="H57" s="240">
        <v>242.07</v>
      </c>
      <c r="I57" s="240">
        <v>657.16</v>
      </c>
      <c r="J57" s="240">
        <v>185.89</v>
      </c>
      <c r="K57" s="240">
        <v>455.58</v>
      </c>
      <c r="L57" s="240">
        <v>851.71</v>
      </c>
      <c r="M57" s="240">
        <v>266.13</v>
      </c>
      <c r="N57" s="240">
        <v>1165.93</v>
      </c>
      <c r="O57" s="240">
        <v>228.8</v>
      </c>
      <c r="P57" s="240">
        <v>352.48</v>
      </c>
      <c r="Q57" s="240">
        <v>960.64</v>
      </c>
      <c r="R57" s="240">
        <v>407.46</v>
      </c>
      <c r="S57" s="240">
        <v>462</v>
      </c>
      <c r="T57" s="240">
        <v>278.12</v>
      </c>
      <c r="U57" s="240">
        <v>709.09</v>
      </c>
      <c r="V57" s="240">
        <v>406.28</v>
      </c>
      <c r="W57" s="240">
        <v>294.91000000000003</v>
      </c>
      <c r="X57" s="240">
        <v>594.16999999999996</v>
      </c>
      <c r="Y57" s="240">
        <v>206.09</v>
      </c>
      <c r="Z57" s="240">
        <v>-1.66</v>
      </c>
    </row>
    <row r="58" spans="3:26" x14ac:dyDescent="0.25">
      <c r="C58">
        <v>2041</v>
      </c>
      <c r="E58">
        <v>694.43</v>
      </c>
      <c r="G58" s="240">
        <v>231.19</v>
      </c>
      <c r="H58" s="240">
        <v>242.07</v>
      </c>
      <c r="I58" s="240">
        <v>657.16</v>
      </c>
      <c r="J58" s="240">
        <v>185.89</v>
      </c>
      <c r="K58" s="240">
        <v>455.58</v>
      </c>
      <c r="L58" s="240">
        <v>851.71</v>
      </c>
      <c r="M58" s="240">
        <v>266.13</v>
      </c>
      <c r="N58" s="240">
        <v>1165.93</v>
      </c>
      <c r="O58" s="240">
        <v>228.8</v>
      </c>
      <c r="P58" s="240">
        <v>352.48</v>
      </c>
      <c r="Q58" s="240">
        <v>960.64</v>
      </c>
      <c r="R58" s="240">
        <v>407.46</v>
      </c>
      <c r="S58" s="240">
        <v>462</v>
      </c>
      <c r="T58" s="240">
        <v>278.12</v>
      </c>
      <c r="U58" s="240">
        <v>709.09</v>
      </c>
      <c r="V58" s="240">
        <v>406.28</v>
      </c>
      <c r="W58" s="240">
        <v>294.91000000000003</v>
      </c>
      <c r="X58" s="240">
        <v>594.16999999999996</v>
      </c>
      <c r="Y58" s="240">
        <v>206.09</v>
      </c>
      <c r="Z58" s="240">
        <v>-1.65</v>
      </c>
    </row>
    <row r="59" spans="3:26" x14ac:dyDescent="0.25">
      <c r="C59">
        <v>2042</v>
      </c>
      <c r="E59">
        <v>694.43</v>
      </c>
      <c r="G59" s="240">
        <v>231.19</v>
      </c>
      <c r="H59" s="240">
        <v>242.07</v>
      </c>
      <c r="I59" s="240">
        <v>657.16</v>
      </c>
      <c r="J59" s="240">
        <v>185.89</v>
      </c>
      <c r="K59" s="240">
        <v>455.58</v>
      </c>
      <c r="L59" s="240">
        <v>851.71</v>
      </c>
      <c r="M59" s="240">
        <v>266.13</v>
      </c>
      <c r="N59" s="240">
        <v>1165.93</v>
      </c>
      <c r="O59" s="240">
        <v>228.8</v>
      </c>
      <c r="P59" s="240">
        <v>352.48</v>
      </c>
      <c r="Q59" s="240">
        <v>960.64</v>
      </c>
      <c r="R59" s="240">
        <v>407.46</v>
      </c>
      <c r="S59" s="240">
        <v>462</v>
      </c>
      <c r="T59" s="240">
        <v>278.12</v>
      </c>
      <c r="U59" s="240">
        <v>709.09</v>
      </c>
      <c r="V59" s="240">
        <v>406.28</v>
      </c>
      <c r="W59" s="240">
        <v>294.91000000000003</v>
      </c>
      <c r="X59" s="240">
        <v>594.16999999999996</v>
      </c>
      <c r="Y59" s="240">
        <v>206.09</v>
      </c>
      <c r="Z59" s="240">
        <v>-1.64</v>
      </c>
    </row>
    <row r="60" spans="3:26" x14ac:dyDescent="0.25">
      <c r="C60">
        <v>2043</v>
      </c>
      <c r="E60">
        <v>694.43</v>
      </c>
      <c r="G60" s="240">
        <v>231.19</v>
      </c>
      <c r="H60" s="240">
        <v>242.07</v>
      </c>
      <c r="I60" s="240">
        <v>657.16</v>
      </c>
      <c r="J60" s="240">
        <v>185.89</v>
      </c>
      <c r="K60" s="240">
        <v>455.58</v>
      </c>
      <c r="L60" s="240">
        <v>851.71</v>
      </c>
      <c r="M60" s="240">
        <v>266.13</v>
      </c>
      <c r="N60" s="240">
        <v>1165.93</v>
      </c>
      <c r="O60" s="240">
        <v>228.8</v>
      </c>
      <c r="P60" s="240">
        <v>352.48</v>
      </c>
      <c r="Q60" s="240">
        <v>960.64</v>
      </c>
      <c r="R60" s="240">
        <v>407.46</v>
      </c>
      <c r="S60" s="240">
        <v>462</v>
      </c>
      <c r="T60" s="240">
        <v>278.12</v>
      </c>
      <c r="U60" s="240">
        <v>709.09</v>
      </c>
      <c r="V60" s="240">
        <v>406.28</v>
      </c>
      <c r="W60" s="240">
        <v>294.91000000000003</v>
      </c>
      <c r="X60" s="240">
        <v>594.16999999999996</v>
      </c>
      <c r="Y60" s="240">
        <v>206.09</v>
      </c>
      <c r="Z60" s="240">
        <v>-1.63</v>
      </c>
    </row>
    <row r="61" spans="3:26" x14ac:dyDescent="0.25">
      <c r="C61">
        <v>2044</v>
      </c>
      <c r="E61">
        <v>694.43</v>
      </c>
      <c r="G61" s="240">
        <v>231.19</v>
      </c>
      <c r="H61" s="240">
        <v>242.07</v>
      </c>
      <c r="I61" s="240">
        <v>657.16</v>
      </c>
      <c r="J61" s="240">
        <v>185.89</v>
      </c>
      <c r="K61" s="240">
        <v>455.58</v>
      </c>
      <c r="L61" s="240">
        <v>851.71</v>
      </c>
      <c r="M61" s="240">
        <v>266.13</v>
      </c>
      <c r="N61" s="240">
        <v>1165.93</v>
      </c>
      <c r="O61" s="240">
        <v>228.8</v>
      </c>
      <c r="P61" s="240">
        <v>352.48</v>
      </c>
      <c r="Q61" s="240">
        <v>960.64</v>
      </c>
      <c r="R61" s="240">
        <v>407.46</v>
      </c>
      <c r="S61" s="240">
        <v>462</v>
      </c>
      <c r="T61" s="240">
        <v>278.12</v>
      </c>
      <c r="U61" s="240">
        <v>709.09</v>
      </c>
      <c r="V61" s="240">
        <v>406.28</v>
      </c>
      <c r="W61" s="240">
        <v>294.91000000000003</v>
      </c>
      <c r="X61" s="240">
        <v>594.16999999999996</v>
      </c>
      <c r="Y61" s="240">
        <v>206.09</v>
      </c>
      <c r="Z61" s="240">
        <v>-1.62</v>
      </c>
    </row>
    <row r="62" spans="3:26" x14ac:dyDescent="0.25">
      <c r="C62">
        <v>2045</v>
      </c>
      <c r="E62">
        <v>694.43</v>
      </c>
      <c r="G62" s="240">
        <v>231.19</v>
      </c>
      <c r="H62" s="240">
        <v>242.07</v>
      </c>
      <c r="I62" s="240">
        <v>657.16</v>
      </c>
      <c r="J62" s="240">
        <v>185.89</v>
      </c>
      <c r="K62" s="240">
        <v>455.58</v>
      </c>
      <c r="L62" s="240">
        <v>851.71</v>
      </c>
      <c r="M62" s="240">
        <v>266.13</v>
      </c>
      <c r="N62" s="240">
        <v>1165.93</v>
      </c>
      <c r="O62" s="240">
        <v>228.8</v>
      </c>
      <c r="P62" s="240">
        <v>352.48</v>
      </c>
      <c r="Q62" s="240">
        <v>960.64</v>
      </c>
      <c r="R62" s="240">
        <v>407.46</v>
      </c>
      <c r="S62" s="240">
        <v>462</v>
      </c>
      <c r="T62" s="240">
        <v>278.12</v>
      </c>
      <c r="U62" s="240">
        <v>709.09</v>
      </c>
      <c r="V62" s="240">
        <v>406.28</v>
      </c>
      <c r="W62" s="240">
        <v>294.91000000000003</v>
      </c>
      <c r="X62" s="240">
        <v>594.16999999999996</v>
      </c>
      <c r="Y62" s="240">
        <v>206.09</v>
      </c>
      <c r="Z62" s="240">
        <v>-1.61</v>
      </c>
    </row>
    <row r="63" spans="3:26" x14ac:dyDescent="0.25">
      <c r="C63">
        <v>2046</v>
      </c>
      <c r="E63">
        <v>694.43</v>
      </c>
      <c r="G63" s="240">
        <v>231.19</v>
      </c>
      <c r="H63" s="240">
        <v>242.07</v>
      </c>
      <c r="I63" s="240">
        <v>657.16</v>
      </c>
      <c r="J63" s="240">
        <v>185.89</v>
      </c>
      <c r="K63" s="240">
        <v>455.58</v>
      </c>
      <c r="L63" s="240">
        <v>851.71</v>
      </c>
      <c r="M63" s="240">
        <v>266.13</v>
      </c>
      <c r="N63" s="240">
        <v>1165.93</v>
      </c>
      <c r="O63" s="240">
        <v>228.8</v>
      </c>
      <c r="P63" s="240">
        <v>352.48</v>
      </c>
      <c r="Q63" s="240">
        <v>960.64</v>
      </c>
      <c r="R63" s="240">
        <v>407.46</v>
      </c>
      <c r="S63" s="240">
        <v>462</v>
      </c>
      <c r="T63" s="240">
        <v>278.12</v>
      </c>
      <c r="U63" s="240">
        <v>709.09</v>
      </c>
      <c r="V63" s="240">
        <v>406.28</v>
      </c>
      <c r="W63" s="240">
        <v>294.91000000000003</v>
      </c>
      <c r="X63" s="240">
        <v>594.16999999999996</v>
      </c>
      <c r="Y63" s="240">
        <v>206.09</v>
      </c>
      <c r="Z63" s="240">
        <v>-1.59</v>
      </c>
    </row>
    <row r="64" spans="3:26" x14ac:dyDescent="0.25">
      <c r="C64">
        <v>2047</v>
      </c>
      <c r="E64">
        <v>694.43</v>
      </c>
      <c r="G64" s="240">
        <v>231.19</v>
      </c>
      <c r="H64" s="240">
        <v>242.07</v>
      </c>
      <c r="I64" s="240">
        <v>657.16</v>
      </c>
      <c r="J64" s="240">
        <v>185.89</v>
      </c>
      <c r="K64" s="240">
        <v>455.58</v>
      </c>
      <c r="L64" s="240">
        <v>851.71</v>
      </c>
      <c r="M64" s="240">
        <v>266.13</v>
      </c>
      <c r="N64" s="240">
        <v>1165.93</v>
      </c>
      <c r="O64" s="240">
        <v>228.8</v>
      </c>
      <c r="P64" s="240">
        <v>352.48</v>
      </c>
      <c r="Q64" s="240">
        <v>960.64</v>
      </c>
      <c r="R64" s="240">
        <v>407.46</v>
      </c>
      <c r="S64" s="240">
        <v>462</v>
      </c>
      <c r="T64" s="240">
        <v>278.12</v>
      </c>
      <c r="U64" s="240">
        <v>709.09</v>
      </c>
      <c r="V64" s="240">
        <v>406.28</v>
      </c>
      <c r="W64" s="240">
        <v>294.91000000000003</v>
      </c>
      <c r="X64" s="240">
        <v>594.16999999999996</v>
      </c>
      <c r="Y64" s="240">
        <v>206.09</v>
      </c>
      <c r="Z64" s="240">
        <v>-1.56</v>
      </c>
    </row>
    <row r="65" spans="3:26" x14ac:dyDescent="0.25">
      <c r="C65">
        <v>2048</v>
      </c>
      <c r="E65">
        <v>694.43</v>
      </c>
      <c r="G65" s="240">
        <v>231.19</v>
      </c>
      <c r="H65" s="240">
        <v>242.07</v>
      </c>
      <c r="I65" s="240">
        <v>657.16</v>
      </c>
      <c r="J65" s="240">
        <v>185.89</v>
      </c>
      <c r="K65" s="240">
        <v>455.58</v>
      </c>
      <c r="L65" s="240">
        <v>851.71</v>
      </c>
      <c r="M65" s="240">
        <v>266.13</v>
      </c>
      <c r="N65" s="240">
        <v>1165.93</v>
      </c>
      <c r="O65" s="240">
        <v>228.8</v>
      </c>
      <c r="P65" s="240">
        <v>352.48</v>
      </c>
      <c r="Q65" s="240">
        <v>960.64</v>
      </c>
      <c r="R65" s="240">
        <v>407.46</v>
      </c>
      <c r="S65" s="240">
        <v>462</v>
      </c>
      <c r="T65" s="240">
        <v>278.12</v>
      </c>
      <c r="U65" s="240">
        <v>709.09</v>
      </c>
      <c r="V65" s="240">
        <v>406.28</v>
      </c>
      <c r="W65" s="240">
        <v>294.91000000000003</v>
      </c>
      <c r="X65" s="240">
        <v>594.16999999999996</v>
      </c>
      <c r="Y65" s="240">
        <v>206.09</v>
      </c>
      <c r="Z65" s="240">
        <v>-1.53</v>
      </c>
    </row>
    <row r="66" spans="3:26" x14ac:dyDescent="0.25">
      <c r="C66">
        <v>2049</v>
      </c>
      <c r="E66">
        <v>694.43</v>
      </c>
      <c r="G66" s="240">
        <v>231.19</v>
      </c>
      <c r="H66" s="240">
        <v>242.07</v>
      </c>
      <c r="I66" s="240">
        <v>657.16</v>
      </c>
      <c r="J66" s="240">
        <v>185.89</v>
      </c>
      <c r="K66" s="240">
        <v>455.58</v>
      </c>
      <c r="L66" s="240">
        <v>851.71</v>
      </c>
      <c r="M66" s="240">
        <v>266.13</v>
      </c>
      <c r="N66" s="240">
        <v>1165.93</v>
      </c>
      <c r="O66" s="240">
        <v>228.8</v>
      </c>
      <c r="P66" s="240">
        <v>352.48</v>
      </c>
      <c r="Q66" s="240">
        <v>960.64</v>
      </c>
      <c r="R66" s="240">
        <v>407.46</v>
      </c>
      <c r="S66" s="240">
        <v>462</v>
      </c>
      <c r="T66" s="240">
        <v>278.12</v>
      </c>
      <c r="U66" s="240">
        <v>709.09</v>
      </c>
      <c r="V66" s="240">
        <v>406.28</v>
      </c>
      <c r="W66" s="240">
        <v>294.91000000000003</v>
      </c>
      <c r="X66" s="240">
        <v>594.16999999999996</v>
      </c>
      <c r="Y66" s="240">
        <v>206.09</v>
      </c>
      <c r="Z66" s="240">
        <v>-1.5</v>
      </c>
    </row>
    <row r="67" spans="3:26" x14ac:dyDescent="0.25">
      <c r="C67">
        <v>2050</v>
      </c>
      <c r="E67">
        <v>694.43</v>
      </c>
      <c r="G67" s="240">
        <v>231.19</v>
      </c>
      <c r="H67" s="240">
        <v>242.07</v>
      </c>
      <c r="I67" s="240">
        <v>657.16</v>
      </c>
      <c r="J67" s="240">
        <v>185.89</v>
      </c>
      <c r="K67" s="240">
        <v>455.58</v>
      </c>
      <c r="L67" s="240">
        <v>851.71</v>
      </c>
      <c r="M67" s="240">
        <v>266.13</v>
      </c>
      <c r="N67" s="240">
        <v>1165.93</v>
      </c>
      <c r="O67" s="240">
        <v>228.8</v>
      </c>
      <c r="P67" s="240">
        <v>352.48</v>
      </c>
      <c r="Q67" s="240">
        <v>960.64</v>
      </c>
      <c r="R67" s="240">
        <v>407.46</v>
      </c>
      <c r="S67" s="240">
        <v>462</v>
      </c>
      <c r="T67" s="240">
        <v>278.12</v>
      </c>
      <c r="U67" s="240">
        <v>709.09</v>
      </c>
      <c r="V67" s="240">
        <v>406.28</v>
      </c>
      <c r="W67" s="240">
        <v>294.91000000000003</v>
      </c>
      <c r="X67" s="240">
        <v>594.16999999999996</v>
      </c>
      <c r="Y67" s="240">
        <v>206.09</v>
      </c>
      <c r="Z67" s="240">
        <v>-1.47</v>
      </c>
    </row>
    <row r="68" spans="3:26" x14ac:dyDescent="0.25">
      <c r="C68">
        <v>2051</v>
      </c>
      <c r="E68">
        <v>694.43</v>
      </c>
      <c r="G68" s="240">
        <v>231.19</v>
      </c>
      <c r="H68" s="240">
        <v>242.07</v>
      </c>
      <c r="I68" s="240">
        <v>657.16</v>
      </c>
      <c r="J68" s="240">
        <v>185.89</v>
      </c>
      <c r="K68" s="240">
        <v>455.58</v>
      </c>
      <c r="L68" s="240">
        <v>851.71</v>
      </c>
      <c r="M68" s="240">
        <v>266.13</v>
      </c>
      <c r="N68" s="240">
        <v>1165.93</v>
      </c>
      <c r="O68" s="240">
        <v>228.8</v>
      </c>
      <c r="P68" s="240">
        <v>352.48</v>
      </c>
      <c r="Q68" s="240">
        <v>960.64</v>
      </c>
      <c r="R68" s="240">
        <v>407.46</v>
      </c>
      <c r="S68" s="240">
        <v>462</v>
      </c>
      <c r="T68" s="240">
        <v>278.12</v>
      </c>
      <c r="U68" s="240">
        <v>709.09</v>
      </c>
      <c r="V68" s="240">
        <v>406.28</v>
      </c>
      <c r="W68" s="240">
        <v>294.91000000000003</v>
      </c>
      <c r="X68" s="240">
        <v>594.16999999999996</v>
      </c>
      <c r="Y68" s="240">
        <v>206.09</v>
      </c>
      <c r="Z68" s="240">
        <v>-1.43</v>
      </c>
    </row>
    <row r="69" spans="3:26" x14ac:dyDescent="0.25">
      <c r="C69">
        <v>2052</v>
      </c>
      <c r="E69">
        <v>694.43</v>
      </c>
      <c r="G69" s="240">
        <v>231.19</v>
      </c>
      <c r="H69" s="240">
        <v>242.07</v>
      </c>
      <c r="I69" s="240">
        <v>657.16</v>
      </c>
      <c r="J69" s="240">
        <v>185.89</v>
      </c>
      <c r="K69" s="240">
        <v>455.58</v>
      </c>
      <c r="L69" s="240">
        <v>851.71</v>
      </c>
      <c r="M69" s="240">
        <v>266.13</v>
      </c>
      <c r="N69" s="240">
        <v>1165.93</v>
      </c>
      <c r="O69" s="240">
        <v>228.8</v>
      </c>
      <c r="P69" s="240">
        <v>352.48</v>
      </c>
      <c r="Q69" s="240">
        <v>960.64</v>
      </c>
      <c r="R69" s="240">
        <v>407.46</v>
      </c>
      <c r="S69" s="240">
        <v>462</v>
      </c>
      <c r="T69" s="240">
        <v>278.12</v>
      </c>
      <c r="U69" s="240">
        <v>709.09</v>
      </c>
      <c r="V69" s="240">
        <v>406.28</v>
      </c>
      <c r="W69" s="240">
        <v>294.91000000000003</v>
      </c>
      <c r="X69" s="240">
        <v>594.16999999999996</v>
      </c>
      <c r="Y69" s="240">
        <v>206.09</v>
      </c>
      <c r="Z69" s="240">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x14ac:dyDescent="0.25"/>
  <cols>
    <col min="1" max="2" width="2.69921875" customWidth="1"/>
    <col min="13" max="13" width="9.09765625" customWidth="1"/>
    <col min="16" max="16" width="9.09765625" customWidth="1"/>
  </cols>
  <sheetData>
    <row r="3" spans="1:30" ht="20" x14ac:dyDescent="0.4">
      <c r="C3" s="99" t="s">
        <v>109</v>
      </c>
      <c r="M3" s="101"/>
    </row>
    <row r="6" spans="1:30" x14ac:dyDescent="0.25">
      <c r="C6" t="s">
        <v>194</v>
      </c>
      <c r="G6" s="155" t="s">
        <v>268</v>
      </c>
    </row>
    <row r="8" spans="1:30" x14ac:dyDescent="0.25">
      <c r="C8" t="s">
        <v>204</v>
      </c>
    </row>
    <row r="10" spans="1:30" x14ac:dyDescent="0.25">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5">
      <c r="C12" s="66" t="s">
        <v>76</v>
      </c>
    </row>
    <row r="13" spans="1:30" x14ac:dyDescent="0.25">
      <c r="D13" s="150" t="s">
        <v>188</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99" t="s">
        <v>216</v>
      </c>
      <c r="M3" s="101"/>
    </row>
    <row r="6" spans="1:30" x14ac:dyDescent="0.25">
      <c r="C6" t="s">
        <v>194</v>
      </c>
      <c r="G6" s="155" t="s">
        <v>233</v>
      </c>
    </row>
    <row r="8" spans="1:30" x14ac:dyDescent="0.25">
      <c r="C8" t="s">
        <v>217</v>
      </c>
    </row>
    <row r="10" spans="1:30" x14ac:dyDescent="0.25">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5">
      <c r="C12" s="66" t="s">
        <v>76</v>
      </c>
    </row>
    <row r="13" spans="1:30" x14ac:dyDescent="0.25">
      <c r="D13" s="65" t="s">
        <v>234</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x14ac:dyDescent="0.25"/>
  <cols>
    <col min="1" max="2" width="2.69921875" customWidth="1"/>
    <col min="3" max="3" width="5.69921875" customWidth="1"/>
  </cols>
  <sheetData>
    <row r="3" spans="3:7" ht="20" x14ac:dyDescent="0.4">
      <c r="C3" s="50" t="s">
        <v>176</v>
      </c>
    </row>
    <row r="6" spans="3:7" x14ac:dyDescent="0.25">
      <c r="C6" t="s">
        <v>194</v>
      </c>
      <c r="G6" s="155" t="s">
        <v>268</v>
      </c>
    </row>
    <row r="8" spans="3:7" x14ac:dyDescent="0.25">
      <c r="C8" s="6" t="s">
        <v>177</v>
      </c>
      <c r="G8" s="101"/>
    </row>
    <row r="10" spans="3:7" x14ac:dyDescent="0.25">
      <c r="C10" t="s">
        <v>178</v>
      </c>
      <c r="D10" t="s">
        <v>179</v>
      </c>
    </row>
    <row r="12" spans="3:7" x14ac:dyDescent="0.25">
      <c r="C12" t="s">
        <v>180</v>
      </c>
      <c r="D12" t="s">
        <v>181</v>
      </c>
    </row>
    <row r="14" spans="3:7" x14ac:dyDescent="0.25">
      <c r="C14" t="s">
        <v>182</v>
      </c>
      <c r="D14" t="s">
        <v>183</v>
      </c>
    </row>
    <row r="16" spans="3:7" x14ac:dyDescent="0.25">
      <c r="C16" t="s">
        <v>184</v>
      </c>
      <c r="D16" t="s">
        <v>252</v>
      </c>
    </row>
    <row r="18" spans="3:4" x14ac:dyDescent="0.25">
      <c r="C18" t="s">
        <v>185</v>
      </c>
      <c r="D18" t="s">
        <v>261</v>
      </c>
    </row>
    <row r="20" spans="3:4" x14ac:dyDescent="0.25">
      <c r="C20" t="s">
        <v>186</v>
      </c>
      <c r="D20" t="s">
        <v>253</v>
      </c>
    </row>
    <row r="22" spans="3:4" x14ac:dyDescent="0.25">
      <c r="D22" t="s">
        <v>61</v>
      </c>
    </row>
    <row r="24" spans="3:4" x14ac:dyDescent="0.25">
      <c r="C24" s="6" t="s">
        <v>254</v>
      </c>
    </row>
    <row r="26" spans="3:4" x14ac:dyDescent="0.25">
      <c r="C26" t="s">
        <v>262</v>
      </c>
    </row>
    <row r="28" spans="3:4" x14ac:dyDescent="0.25">
      <c r="C28" t="s">
        <v>255</v>
      </c>
      <c r="D28" t="s">
        <v>256</v>
      </c>
    </row>
    <row r="30" spans="3:4" x14ac:dyDescent="0.25">
      <c r="C30" t="s">
        <v>257</v>
      </c>
      <c r="D30" t="s">
        <v>258</v>
      </c>
    </row>
    <row r="32" spans="3:4" x14ac:dyDescent="0.25">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2023-12-01T04:04:18Z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