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C0B95378-3486-4741-B20D-505C75850589}" xr6:coauthVersionLast="47" xr6:coauthVersionMax="47" xr10:uidLastSave="{00000000-0000-0000-0000-000000000000}"/>
  <bookViews>
    <workbookView xWindow="-110" yWindow="-110" windowWidth="19420" windowHeight="10420" tabRatio="722" firstSheet="1" activeTab="3" xr2:uid="{00000000-000D-0000-FFFF-FFFF00000000}"/>
  </bookViews>
  <sheets>
    <sheet name="Cover" sheetId="12" r:id="rId1"/>
    <sheet name="Journal of changes" sheetId="27"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r:id="rId11"/>
    <sheet name="Scheme cost allocation" sheetId="26" r:id="rId12"/>
    <sheet name="Asset exclusions" sheetId="24" r:id="rId13"/>
  </sheets>
  <definedNames>
    <definedName name="_xlnm.Print_Area" localSheetId="0">Cover!$B$1:$E$100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2" i="16" l="1"/>
  <c r="P52" i="16" s="1"/>
  <c r="O53" i="16"/>
  <c r="P53" i="16" s="1"/>
  <c r="O54" i="16"/>
  <c r="P54" i="16" s="1"/>
  <c r="O55" i="16"/>
  <c r="P55" i="16" s="1"/>
  <c r="J55" i="16"/>
  <c r="F55" i="16"/>
  <c r="J54" i="16"/>
  <c r="J53" i="16"/>
  <c r="J52" i="16"/>
  <c r="F54" i="16"/>
  <c r="F52" i="16"/>
  <c r="O87" i="16" l="1"/>
  <c r="O88" i="16"/>
  <c r="J87" i="16"/>
  <c r="J88" i="16"/>
  <c r="O83" i="14"/>
  <c r="P83" i="14" s="1"/>
  <c r="O84" i="14"/>
  <c r="P84" i="14" s="1"/>
  <c r="J83" i="14"/>
  <c r="J84" i="14"/>
  <c r="J85" i="14"/>
  <c r="F82" i="14"/>
  <c r="F83" i="14"/>
  <c r="F84" i="14"/>
  <c r="F85" i="14"/>
  <c r="O76" i="16"/>
  <c r="J76" i="16"/>
  <c r="J56" i="16" l="1"/>
  <c r="O56" i="16"/>
  <c r="P56" i="16" s="1"/>
  <c r="J57" i="16"/>
  <c r="O57" i="16"/>
  <c r="P57" i="16" s="1"/>
  <c r="J77" i="16"/>
  <c r="O77" i="16"/>
  <c r="P77" i="16" s="1"/>
  <c r="J78" i="16"/>
  <c r="O78" i="16"/>
  <c r="P78" i="16" s="1"/>
  <c r="O22" i="16"/>
  <c r="P22" i="16" s="1"/>
  <c r="O25" i="16"/>
  <c r="P25" i="16" s="1"/>
  <c r="O26" i="16"/>
  <c r="P26" i="16" s="1"/>
  <c r="J84" i="16"/>
  <c r="O84" i="16"/>
  <c r="P84" i="16" s="1"/>
  <c r="J85" i="16"/>
  <c r="O85" i="16"/>
  <c r="P85" i="16" s="1"/>
  <c r="J89" i="16"/>
  <c r="O89" i="16"/>
  <c r="P89" i="16" s="1"/>
  <c r="J90" i="16"/>
  <c r="O90" i="16"/>
  <c r="P90" i="16" s="1"/>
  <c r="J79" i="16"/>
  <c r="O79" i="16"/>
  <c r="H98" i="20"/>
  <c r="S39" i="19"/>
  <c r="S40" i="19"/>
  <c r="S41" i="19"/>
  <c r="S42" i="19"/>
  <c r="S43" i="19"/>
  <c r="S44" i="19"/>
  <c r="S45" i="19"/>
  <c r="S46" i="19"/>
  <c r="S47" i="19"/>
  <c r="S48" i="19"/>
  <c r="S49" i="19"/>
  <c r="S50" i="19"/>
  <c r="S51" i="19"/>
  <c r="S52" i="19"/>
  <c r="F84" i="16" l="1"/>
  <c r="F85" i="16"/>
  <c r="F89" i="16"/>
  <c r="F90" i="16"/>
  <c r="O86" i="16"/>
  <c r="K10" i="26" l="1"/>
  <c r="K10" i="23"/>
  <c r="C15" i="22"/>
  <c r="B15" i="20" l="1"/>
  <c r="B14" i="20"/>
  <c r="C18" i="12"/>
  <c r="D60" i="12"/>
  <c r="C66" i="12"/>
  <c r="J10" i="26"/>
  <c r="D14" i="26"/>
  <c r="O22" i="14" l="1"/>
  <c r="O23" i="14"/>
  <c r="D218" i="17" l="1"/>
  <c r="D222" i="16"/>
  <c r="D218" i="14"/>
  <c r="C9" i="20" l="1"/>
  <c r="C20" i="12"/>
  <c r="C54" i="12"/>
  <c r="C42" i="12"/>
  <c r="D8" i="25"/>
  <c r="C7" i="17" l="1"/>
  <c r="C6" i="17"/>
  <c r="C7" i="16"/>
  <c r="C6" i="16"/>
  <c r="C6" i="14"/>
  <c r="L12" i="15" l="1"/>
  <c r="C7" i="14" l="1"/>
  <c r="O218" i="17" l="1"/>
  <c r="O217" i="17"/>
  <c r="O216" i="17"/>
  <c r="O215" i="17"/>
  <c r="O214" i="17"/>
  <c r="O213" i="17"/>
  <c r="O212" i="17"/>
  <c r="O211" i="17"/>
  <c r="O210" i="17"/>
  <c r="O209" i="17"/>
  <c r="O208" i="17"/>
  <c r="O207" i="17"/>
  <c r="O206" i="17"/>
  <c r="O205" i="17"/>
  <c r="O204" i="17"/>
  <c r="O203" i="17"/>
  <c r="O202" i="17"/>
  <c r="O201" i="17"/>
  <c r="O200" i="17"/>
  <c r="O199" i="17"/>
  <c r="O198" i="17"/>
  <c r="O197" i="17"/>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22" i="16"/>
  <c r="O221" i="16"/>
  <c r="O220" i="16"/>
  <c r="O219" i="16"/>
  <c r="O218" i="16"/>
  <c r="O217" i="16"/>
  <c r="O216" i="16"/>
  <c r="O215" i="16"/>
  <c r="O214" i="16"/>
  <c r="O213" i="16"/>
  <c r="O212" i="16"/>
  <c r="O211" i="16"/>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83" i="16"/>
  <c r="O82" i="16"/>
  <c r="O81" i="16"/>
  <c r="O80" i="16"/>
  <c r="O75" i="16"/>
  <c r="O74" i="16"/>
  <c r="O73" i="16"/>
  <c r="O72" i="16"/>
  <c r="O71" i="16"/>
  <c r="O70" i="16"/>
  <c r="O69" i="16"/>
  <c r="O68" i="16"/>
  <c r="O67" i="16"/>
  <c r="O66" i="16"/>
  <c r="O65" i="16"/>
  <c r="O64" i="16"/>
  <c r="O63" i="16"/>
  <c r="O62" i="16"/>
  <c r="O61" i="16"/>
  <c r="O60" i="16"/>
  <c r="O59" i="16"/>
  <c r="O58"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4" i="16"/>
  <c r="O23" i="16"/>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5"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J10" i="23"/>
  <c r="D39" i="20" l="1"/>
  <c r="H39" i="20" s="1"/>
  <c r="L5" i="15" l="1"/>
  <c r="I18" i="15" l="1"/>
  <c r="H30" i="15"/>
  <c r="N39" i="20" l="1"/>
  <c r="L11" i="19"/>
  <c r="G6" i="19"/>
  <c r="D24" i="22" l="1"/>
  <c r="P217" i="14" l="1"/>
  <c r="F217" i="14"/>
  <c r="P216" i="14"/>
  <c r="F216" i="14"/>
  <c r="P215" i="14"/>
  <c r="F215" i="14"/>
  <c r="P214" i="14"/>
  <c r="F214" i="14"/>
  <c r="P213" i="14"/>
  <c r="F213" i="14"/>
  <c r="P212" i="14"/>
  <c r="F212" i="14"/>
  <c r="P211" i="14"/>
  <c r="F211" i="14"/>
  <c r="P210" i="14"/>
  <c r="F210" i="14"/>
  <c r="P209" i="14"/>
  <c r="F209" i="14"/>
  <c r="P208" i="14"/>
  <c r="F208" i="14"/>
  <c r="P207" i="14"/>
  <c r="F207" i="14"/>
  <c r="P206" i="14"/>
  <c r="F206" i="14"/>
  <c r="P205" i="14"/>
  <c r="F205" i="14"/>
  <c r="P204" i="14"/>
  <c r="F204" i="14"/>
  <c r="P203" i="14"/>
  <c r="F203" i="14"/>
  <c r="P202" i="14"/>
  <c r="F202" i="14"/>
  <c r="P201" i="14"/>
  <c r="F201" i="14"/>
  <c r="P200" i="14"/>
  <c r="F200" i="14"/>
  <c r="P199" i="14"/>
  <c r="F199" i="14"/>
  <c r="P198" i="14"/>
  <c r="F198" i="14"/>
  <c r="P197" i="14"/>
  <c r="F197" i="14"/>
  <c r="P196" i="14"/>
  <c r="F196" i="14"/>
  <c r="P195" i="14"/>
  <c r="F195" i="14"/>
  <c r="P194" i="14"/>
  <c r="F194" i="14"/>
  <c r="P193" i="14"/>
  <c r="F193" i="14"/>
  <c r="P192" i="14"/>
  <c r="F192" i="14"/>
  <c r="P191" i="14"/>
  <c r="F191" i="14"/>
  <c r="P190" i="14"/>
  <c r="F190" i="14"/>
  <c r="P189" i="14"/>
  <c r="F189" i="14"/>
  <c r="P188" i="14"/>
  <c r="F188" i="14"/>
  <c r="P187" i="14"/>
  <c r="F187" i="14"/>
  <c r="P186" i="14"/>
  <c r="F186" i="14"/>
  <c r="P185" i="14"/>
  <c r="F185" i="14"/>
  <c r="P184" i="14"/>
  <c r="F184" i="14"/>
  <c r="P183" i="14"/>
  <c r="F183" i="14"/>
  <c r="P182" i="14"/>
  <c r="F182" i="14"/>
  <c r="P181" i="14"/>
  <c r="F181" i="14"/>
  <c r="P180" i="14"/>
  <c r="F180" i="14"/>
  <c r="P179" i="14"/>
  <c r="F179" i="14"/>
  <c r="P178" i="14"/>
  <c r="F178" i="14"/>
  <c r="P177" i="14"/>
  <c r="F177" i="14"/>
  <c r="P176" i="14"/>
  <c r="F176" i="14"/>
  <c r="P175" i="14"/>
  <c r="F175" i="14"/>
  <c r="P174" i="14"/>
  <c r="F174" i="14"/>
  <c r="P173" i="14"/>
  <c r="F173" i="14"/>
  <c r="P172" i="14"/>
  <c r="F172" i="14"/>
  <c r="P171" i="14"/>
  <c r="F171" i="14"/>
  <c r="P170" i="14"/>
  <c r="F170" i="14"/>
  <c r="P169" i="14"/>
  <c r="F169" i="14"/>
  <c r="P168" i="14"/>
  <c r="F168" i="14"/>
  <c r="P167" i="14"/>
  <c r="F167" i="14"/>
  <c r="P166" i="14"/>
  <c r="F166" i="14"/>
  <c r="P165" i="14"/>
  <c r="F165" i="14"/>
  <c r="P164" i="14"/>
  <c r="F164" i="14"/>
  <c r="P163" i="14"/>
  <c r="F163" i="14"/>
  <c r="P162" i="14"/>
  <c r="F162" i="14"/>
  <c r="P161" i="14"/>
  <c r="F161" i="14"/>
  <c r="P160" i="14"/>
  <c r="F160" i="14"/>
  <c r="P159" i="14"/>
  <c r="F159" i="14"/>
  <c r="P158" i="14"/>
  <c r="F158" i="14"/>
  <c r="P157" i="14"/>
  <c r="F157" i="14"/>
  <c r="P156" i="14"/>
  <c r="F156" i="14"/>
  <c r="P155" i="14"/>
  <c r="F155" i="14"/>
  <c r="P154" i="14"/>
  <c r="F154" i="14"/>
  <c r="P153" i="14"/>
  <c r="F153" i="14"/>
  <c r="P152" i="14"/>
  <c r="F152" i="14"/>
  <c r="P151" i="14"/>
  <c r="F151" i="14"/>
  <c r="P150" i="14"/>
  <c r="F150" i="14"/>
  <c r="P149" i="14"/>
  <c r="F149" i="14"/>
  <c r="P148" i="14"/>
  <c r="F148" i="14"/>
  <c r="P147" i="14"/>
  <c r="F147" i="14"/>
  <c r="P146" i="14"/>
  <c r="F146" i="14"/>
  <c r="P145" i="14"/>
  <c r="F145" i="14"/>
  <c r="P144" i="14"/>
  <c r="F144" i="14"/>
  <c r="P143" i="14"/>
  <c r="F143" i="14"/>
  <c r="P142" i="14"/>
  <c r="F142" i="14"/>
  <c r="P141" i="14"/>
  <c r="F141" i="14"/>
  <c r="P140" i="14"/>
  <c r="F140" i="14"/>
  <c r="P139" i="14"/>
  <c r="F139" i="14"/>
  <c r="P138" i="14"/>
  <c r="F138" i="14"/>
  <c r="P137" i="14"/>
  <c r="F137" i="14"/>
  <c r="P136" i="14"/>
  <c r="F136" i="14"/>
  <c r="P135" i="14"/>
  <c r="F135" i="14"/>
  <c r="P134" i="14"/>
  <c r="F134" i="14"/>
  <c r="P133" i="14"/>
  <c r="F133" i="14"/>
  <c r="P132" i="14"/>
  <c r="F132" i="14"/>
  <c r="P131" i="14"/>
  <c r="F131" i="14"/>
  <c r="P130" i="14"/>
  <c r="F130" i="14"/>
  <c r="P129" i="14"/>
  <c r="F129" i="14"/>
  <c r="P128" i="14"/>
  <c r="F128" i="14"/>
  <c r="P127" i="14"/>
  <c r="F127" i="14"/>
  <c r="P126" i="14"/>
  <c r="F126" i="14"/>
  <c r="P125" i="14"/>
  <c r="F125" i="14"/>
  <c r="P124" i="14"/>
  <c r="F124" i="14"/>
  <c r="P123" i="14"/>
  <c r="F123" i="14"/>
  <c r="P122" i="14"/>
  <c r="F122" i="14"/>
  <c r="P121" i="14"/>
  <c r="F121" i="14"/>
  <c r="P120" i="14"/>
  <c r="F120" i="14"/>
  <c r="P221" i="16"/>
  <c r="F221" i="16"/>
  <c r="P220" i="16"/>
  <c r="F220" i="16"/>
  <c r="P219" i="16"/>
  <c r="F219" i="16"/>
  <c r="P218" i="16"/>
  <c r="F218" i="16"/>
  <c r="P217" i="16"/>
  <c r="F217" i="16"/>
  <c r="P216" i="16"/>
  <c r="F216" i="16"/>
  <c r="P215" i="16"/>
  <c r="F215" i="16"/>
  <c r="P214" i="16"/>
  <c r="F214" i="16"/>
  <c r="P213" i="16"/>
  <c r="F213" i="16"/>
  <c r="P212" i="16"/>
  <c r="F212" i="16"/>
  <c r="P211" i="16"/>
  <c r="F211" i="16"/>
  <c r="P210" i="16"/>
  <c r="F210" i="16"/>
  <c r="P209" i="16"/>
  <c r="F209" i="16"/>
  <c r="P208" i="16"/>
  <c r="F208" i="16"/>
  <c r="P207" i="16"/>
  <c r="F207" i="16"/>
  <c r="P206" i="16"/>
  <c r="F206" i="16"/>
  <c r="P205" i="16"/>
  <c r="F205" i="16"/>
  <c r="P204" i="16"/>
  <c r="F204" i="16"/>
  <c r="P203" i="16"/>
  <c r="F203" i="16"/>
  <c r="P202" i="16"/>
  <c r="F202" i="16"/>
  <c r="P201" i="16"/>
  <c r="F201" i="16"/>
  <c r="P200" i="16"/>
  <c r="F200" i="16"/>
  <c r="P199" i="16"/>
  <c r="F199" i="16"/>
  <c r="P198" i="16"/>
  <c r="F198" i="16"/>
  <c r="P197" i="16"/>
  <c r="F197" i="16"/>
  <c r="P196" i="16"/>
  <c r="F196" i="16"/>
  <c r="P195" i="16"/>
  <c r="F195" i="16"/>
  <c r="P194" i="16"/>
  <c r="F194" i="16"/>
  <c r="P193" i="16"/>
  <c r="F193" i="16"/>
  <c r="P192" i="16"/>
  <c r="F192" i="16"/>
  <c r="P191" i="16"/>
  <c r="F191" i="16"/>
  <c r="P190" i="16"/>
  <c r="F190" i="16"/>
  <c r="P189" i="16"/>
  <c r="F189" i="16"/>
  <c r="P188" i="16"/>
  <c r="F188" i="16"/>
  <c r="P187" i="16"/>
  <c r="F187" i="16"/>
  <c r="P186" i="16"/>
  <c r="F186" i="16"/>
  <c r="P185" i="16"/>
  <c r="F185" i="16"/>
  <c r="P184" i="16"/>
  <c r="F184" i="16"/>
  <c r="P183" i="16"/>
  <c r="F183" i="16"/>
  <c r="P182" i="16"/>
  <c r="F182" i="16"/>
  <c r="P181" i="16"/>
  <c r="F181" i="16"/>
  <c r="P180" i="16"/>
  <c r="F180" i="16"/>
  <c r="P179" i="16"/>
  <c r="F179" i="16"/>
  <c r="P178" i="16"/>
  <c r="F178" i="16"/>
  <c r="P177" i="16"/>
  <c r="F177" i="16"/>
  <c r="P176" i="16"/>
  <c r="F176" i="16"/>
  <c r="P175" i="16"/>
  <c r="F175" i="16"/>
  <c r="P174" i="16"/>
  <c r="F174" i="16"/>
  <c r="P173" i="16"/>
  <c r="F173" i="16"/>
  <c r="P172" i="16"/>
  <c r="F172" i="16"/>
  <c r="P171" i="16"/>
  <c r="F171" i="16"/>
  <c r="P170" i="16"/>
  <c r="F170" i="16"/>
  <c r="P169" i="16"/>
  <c r="F169" i="16"/>
  <c r="P168" i="16"/>
  <c r="F168" i="16"/>
  <c r="P167" i="16"/>
  <c r="F167" i="16"/>
  <c r="P166" i="16"/>
  <c r="F166" i="16"/>
  <c r="P165" i="16"/>
  <c r="F165" i="16"/>
  <c r="P164" i="16"/>
  <c r="F164" i="16"/>
  <c r="P163" i="16"/>
  <c r="F163" i="16"/>
  <c r="P162" i="16"/>
  <c r="F162" i="16"/>
  <c r="P161" i="16"/>
  <c r="F161" i="16"/>
  <c r="P160" i="16"/>
  <c r="F160" i="16"/>
  <c r="P159" i="16"/>
  <c r="F159" i="16"/>
  <c r="P158" i="16"/>
  <c r="F158" i="16"/>
  <c r="P157" i="16"/>
  <c r="F157" i="16"/>
  <c r="P156" i="16"/>
  <c r="F156" i="16"/>
  <c r="P155" i="16"/>
  <c r="F155" i="16"/>
  <c r="P154" i="16"/>
  <c r="F154" i="16"/>
  <c r="P153" i="16"/>
  <c r="F153" i="16"/>
  <c r="P152" i="16"/>
  <c r="F152" i="16"/>
  <c r="P151" i="16"/>
  <c r="F151" i="16"/>
  <c r="P150" i="16"/>
  <c r="F150" i="16"/>
  <c r="P149" i="16"/>
  <c r="F149" i="16"/>
  <c r="P148" i="16"/>
  <c r="F148" i="16"/>
  <c r="P147" i="16"/>
  <c r="F147" i="16"/>
  <c r="P146" i="16"/>
  <c r="F146" i="16"/>
  <c r="P145" i="16"/>
  <c r="F145" i="16"/>
  <c r="P144" i="16"/>
  <c r="F144" i="16"/>
  <c r="P143" i="16"/>
  <c r="F143" i="16"/>
  <c r="P142" i="16"/>
  <c r="F142" i="16"/>
  <c r="P141" i="16"/>
  <c r="F141" i="16"/>
  <c r="P140" i="16"/>
  <c r="F140" i="16"/>
  <c r="P139" i="16"/>
  <c r="F139" i="16"/>
  <c r="P138" i="16"/>
  <c r="F138" i="16"/>
  <c r="P137" i="16"/>
  <c r="F137" i="16"/>
  <c r="P136" i="16"/>
  <c r="F136" i="16"/>
  <c r="P135" i="16"/>
  <c r="F135" i="16"/>
  <c r="P134" i="16"/>
  <c r="F134" i="16"/>
  <c r="P133" i="16"/>
  <c r="F133" i="16"/>
  <c r="P132" i="16"/>
  <c r="F132" i="16"/>
  <c r="P131" i="16"/>
  <c r="F131" i="16"/>
  <c r="P130" i="16"/>
  <c r="F130" i="16"/>
  <c r="P129" i="16"/>
  <c r="F129" i="16"/>
  <c r="P128" i="16"/>
  <c r="F128" i="16"/>
  <c r="P127" i="16"/>
  <c r="F127" i="16"/>
  <c r="P126" i="16"/>
  <c r="F126" i="16"/>
  <c r="P125" i="16"/>
  <c r="F125" i="16"/>
  <c r="P124" i="16"/>
  <c r="F124" i="16"/>
  <c r="P217" i="17"/>
  <c r="F217" i="17"/>
  <c r="P216" i="17"/>
  <c r="F216" i="17"/>
  <c r="P215" i="17"/>
  <c r="F215" i="17"/>
  <c r="P214" i="17"/>
  <c r="F214" i="17"/>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P198" i="17"/>
  <c r="F198" i="17"/>
  <c r="P197" i="17"/>
  <c r="F197" i="17"/>
  <c r="P196" i="17"/>
  <c r="F196" i="17"/>
  <c r="P195" i="17"/>
  <c r="F195" i="17"/>
  <c r="P194" i="17"/>
  <c r="F194" i="17"/>
  <c r="P193" i="17"/>
  <c r="F193" i="17"/>
  <c r="P192" i="17"/>
  <c r="F192" i="17"/>
  <c r="P191" i="17"/>
  <c r="F191" i="17"/>
  <c r="P190" i="17"/>
  <c r="F190" i="17"/>
  <c r="P189" i="17"/>
  <c r="F189" i="17"/>
  <c r="P188" i="17"/>
  <c r="F188" i="17"/>
  <c r="P187" i="17"/>
  <c r="F187" i="17"/>
  <c r="P186" i="17"/>
  <c r="F186" i="17"/>
  <c r="P185" i="17"/>
  <c r="F185" i="17"/>
  <c r="P184" i="17"/>
  <c r="F184" i="17"/>
  <c r="P183" i="17"/>
  <c r="F183" i="17"/>
  <c r="P182" i="17"/>
  <c r="F182" i="17"/>
  <c r="P181" i="17"/>
  <c r="F181" i="17"/>
  <c r="P180" i="17"/>
  <c r="F180" i="17"/>
  <c r="P179" i="17"/>
  <c r="F179" i="17"/>
  <c r="P178" i="17"/>
  <c r="F178" i="17"/>
  <c r="P177" i="17"/>
  <c r="F177" i="17"/>
  <c r="P176" i="17"/>
  <c r="F176" i="17"/>
  <c r="P175" i="17"/>
  <c r="F175" i="17"/>
  <c r="P174" i="17"/>
  <c r="F174" i="17"/>
  <c r="P173" i="17"/>
  <c r="F173" i="17"/>
  <c r="P172" i="17"/>
  <c r="F172" i="17"/>
  <c r="P171" i="17"/>
  <c r="F171" i="17"/>
  <c r="P170" i="17"/>
  <c r="F170" i="17"/>
  <c r="P169" i="17"/>
  <c r="F169" i="17"/>
  <c r="P168" i="17"/>
  <c r="F168" i="17"/>
  <c r="P167" i="17"/>
  <c r="F167" i="17"/>
  <c r="P166" i="17"/>
  <c r="F166" i="17"/>
  <c r="P165" i="17"/>
  <c r="F165" i="17"/>
  <c r="P164" i="17"/>
  <c r="F164" i="17"/>
  <c r="P163" i="17"/>
  <c r="F163" i="17"/>
  <c r="P162" i="17"/>
  <c r="F162" i="17"/>
  <c r="P161" i="17"/>
  <c r="F161" i="17"/>
  <c r="P160" i="17"/>
  <c r="F160" i="17"/>
  <c r="P159" i="17"/>
  <c r="F159" i="17"/>
  <c r="P158" i="17"/>
  <c r="F158" i="17"/>
  <c r="P157" i="17"/>
  <c r="F157" i="17"/>
  <c r="P156" i="17"/>
  <c r="F156" i="17"/>
  <c r="P155" i="17"/>
  <c r="F155" i="17"/>
  <c r="P154" i="17"/>
  <c r="F154" i="17"/>
  <c r="P153" i="17"/>
  <c r="F153" i="17"/>
  <c r="P152" i="17"/>
  <c r="F152" i="17"/>
  <c r="P151" i="17"/>
  <c r="F151" i="17"/>
  <c r="P150" i="17"/>
  <c r="F150" i="17"/>
  <c r="P149" i="17"/>
  <c r="F149" i="17"/>
  <c r="P148" i="17"/>
  <c r="F148" i="17"/>
  <c r="P147" i="17"/>
  <c r="F147" i="17"/>
  <c r="P146" i="17"/>
  <c r="F146" i="17"/>
  <c r="P145" i="17"/>
  <c r="F145" i="17"/>
  <c r="P144" i="17"/>
  <c r="F144" i="17"/>
  <c r="P143" i="17"/>
  <c r="F143" i="17"/>
  <c r="P142" i="17"/>
  <c r="F142" i="17"/>
  <c r="P141" i="17"/>
  <c r="F141" i="17"/>
  <c r="P140" i="17"/>
  <c r="F140" i="17"/>
  <c r="P139" i="17"/>
  <c r="F139" i="17"/>
  <c r="P138" i="17"/>
  <c r="F138" i="17"/>
  <c r="P137" i="17"/>
  <c r="F137" i="17"/>
  <c r="P136" i="17"/>
  <c r="F136" i="17"/>
  <c r="P135" i="17"/>
  <c r="F135" i="17"/>
  <c r="P134" i="17"/>
  <c r="F134" i="17"/>
  <c r="P133" i="17"/>
  <c r="F133" i="17"/>
  <c r="P132" i="17"/>
  <c r="F132" i="17"/>
  <c r="P131" i="17"/>
  <c r="F131" i="17"/>
  <c r="P130" i="17"/>
  <c r="F130" i="17"/>
  <c r="P129" i="17"/>
  <c r="F129" i="17"/>
  <c r="P128" i="17"/>
  <c r="F128" i="17"/>
  <c r="P127" i="17"/>
  <c r="F127" i="17"/>
  <c r="P126" i="17"/>
  <c r="F126" i="17"/>
  <c r="P125" i="17"/>
  <c r="F125" i="17"/>
  <c r="P124" i="17"/>
  <c r="F124" i="17"/>
  <c r="P123" i="17"/>
  <c r="F123" i="17"/>
  <c r="P122" i="17"/>
  <c r="F122" i="17"/>
  <c r="P121" i="17"/>
  <c r="F121" i="17"/>
  <c r="P120" i="17"/>
  <c r="F120" i="17"/>
  <c r="AL15" i="19" l="1"/>
  <c r="D38" i="12" l="1"/>
  <c r="C40" i="12"/>
  <c r="D81" i="12"/>
  <c r="D73" i="12"/>
  <c r="D72" i="12"/>
  <c r="D48" i="12"/>
  <c r="F218" i="17" l="1"/>
  <c r="F119" i="17"/>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P218" i="17"/>
  <c r="P119" i="17"/>
  <c r="P118" i="17"/>
  <c r="P117" i="17"/>
  <c r="P116" i="17"/>
  <c r="P115" i="17"/>
  <c r="P114" i="17"/>
  <c r="P113" i="17"/>
  <c r="P112" i="17"/>
  <c r="P111" i="17"/>
  <c r="P110" i="17"/>
  <c r="P109" i="17"/>
  <c r="P108" i="17"/>
  <c r="P107" i="17"/>
  <c r="P106" i="17"/>
  <c r="P105" i="17"/>
  <c r="P104"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40" i="17"/>
  <c r="P39" i="17"/>
  <c r="P38" i="17"/>
  <c r="P37" i="17"/>
  <c r="P36" i="17"/>
  <c r="P222" i="16"/>
  <c r="P123" i="16"/>
  <c r="P122" i="16"/>
  <c r="P121" i="16"/>
  <c r="P120" i="16"/>
  <c r="P119" i="16"/>
  <c r="P118" i="16"/>
  <c r="P117" i="16"/>
  <c r="P116" i="16"/>
  <c r="P115" i="16"/>
  <c r="P114" i="16"/>
  <c r="P113" i="16"/>
  <c r="P112" i="16"/>
  <c r="P111" i="16"/>
  <c r="P110" i="16"/>
  <c r="P109" i="16"/>
  <c r="P108" i="16"/>
  <c r="P107" i="16"/>
  <c r="P106" i="16"/>
  <c r="P105" i="16"/>
  <c r="P104" i="16"/>
  <c r="P103" i="16"/>
  <c r="P102" i="16"/>
  <c r="P101" i="16"/>
  <c r="P100" i="16"/>
  <c r="P99" i="16"/>
  <c r="P98" i="16"/>
  <c r="P96" i="16"/>
  <c r="P95" i="16"/>
  <c r="F222" i="16"/>
  <c r="F123"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6" i="16"/>
  <c r="F95" i="16"/>
  <c r="F78" i="16"/>
  <c r="F77" i="16"/>
  <c r="F57" i="16"/>
  <c r="F56" i="16"/>
  <c r="F26" i="16"/>
  <c r="F25" i="16"/>
  <c r="P218" i="14"/>
  <c r="P119" i="14"/>
  <c r="P118" i="14"/>
  <c r="P117" i="14"/>
  <c r="P116" i="14"/>
  <c r="P115" i="14"/>
  <c r="P114" i="14"/>
  <c r="P113" i="14"/>
  <c r="P112" i="14"/>
  <c r="P111" i="14"/>
  <c r="P110" i="14"/>
  <c r="P109" i="14"/>
  <c r="P108" i="14"/>
  <c r="P107" i="14"/>
  <c r="P105" i="14"/>
  <c r="P104" i="14"/>
  <c r="P87" i="14"/>
  <c r="P85" i="14"/>
  <c r="P80" i="14"/>
  <c r="P79" i="14"/>
  <c r="P75" i="14"/>
  <c r="P74" i="14"/>
  <c r="P54" i="14"/>
  <c r="P53" i="14"/>
  <c r="P32" i="14"/>
  <c r="P31" i="14"/>
  <c r="F218" i="14"/>
  <c r="F119" i="14"/>
  <c r="F118" i="14"/>
  <c r="F117" i="14"/>
  <c r="F116" i="14"/>
  <c r="F115" i="14"/>
  <c r="F114" i="14"/>
  <c r="F113" i="14"/>
  <c r="F112" i="14"/>
  <c r="F111" i="14"/>
  <c r="F110" i="14"/>
  <c r="F109" i="14"/>
  <c r="F108" i="14"/>
  <c r="F107" i="14"/>
  <c r="F105" i="14"/>
  <c r="F104" i="14"/>
  <c r="F87" i="14"/>
  <c r="F80" i="14"/>
  <c r="F79" i="14"/>
  <c r="F75" i="14"/>
  <c r="F74" i="14"/>
  <c r="F54" i="14"/>
  <c r="F53" i="14"/>
  <c r="F32" i="14"/>
  <c r="F31" i="14"/>
  <c r="AG11" i="19" l="1"/>
  <c r="AD11" i="19"/>
  <c r="AA11" i="19"/>
  <c r="X11" i="19"/>
  <c r="U11" i="19"/>
  <c r="R11" i="19"/>
  <c r="P21" i="14" l="1"/>
  <c r="O21" i="14"/>
  <c r="N21" i="14"/>
  <c r="P21" i="17"/>
  <c r="O21" i="17"/>
  <c r="N21" i="17"/>
  <c r="O21" i="16"/>
  <c r="N21" i="16"/>
  <c r="F6" i="19"/>
  <c r="J33" i="19" l="1"/>
  <c r="J34" i="19"/>
  <c r="M19" i="19"/>
  <c r="G12" i="19"/>
  <c r="M39" i="19"/>
  <c r="J37" i="19"/>
  <c r="D14" i="23"/>
  <c r="L18" i="15" l="1"/>
  <c r="H20" i="22"/>
  <c r="K20" i="22" s="1"/>
  <c r="D32" i="12" l="1"/>
  <c r="D31" i="12"/>
  <c r="D30" i="12"/>
  <c r="D28" i="12"/>
  <c r="D29" i="12"/>
  <c r="K8" i="25" l="1"/>
  <c r="D17" i="25"/>
  <c r="P21" i="16"/>
  <c r="AJ19" i="19"/>
  <c r="O11" i="19" s="1"/>
  <c r="O39" i="20" l="1"/>
  <c r="L36" i="15"/>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AI13" i="19"/>
  <c r="AI14" i="19" s="1"/>
  <c r="AI15" i="19" s="1"/>
  <c r="AI16" i="19" s="1"/>
  <c r="AI17" i="19" s="1"/>
  <c r="AI18" i="19" s="1"/>
  <c r="J11" i="20" l="1"/>
  <c r="J10" i="20"/>
  <c r="J9" i="20"/>
  <c r="C17" i="20"/>
  <c r="A10" i="20"/>
  <c r="C10" i="20" s="1"/>
  <c r="C26" i="20" l="1"/>
  <c r="A11" i="20"/>
  <c r="C11" i="20" s="1"/>
  <c r="C35" i="20" l="1"/>
  <c r="E15" i="17" l="1"/>
  <c r="E16" i="16"/>
  <c r="E15" i="16"/>
  <c r="E16" i="14"/>
  <c r="E15" i="14"/>
  <c r="F88" i="16" l="1"/>
  <c r="F87" i="16"/>
  <c r="P87" i="16"/>
  <c r="P88" i="16"/>
  <c r="F76" i="16"/>
  <c r="P76" i="16"/>
  <c r="F96" i="14"/>
  <c r="F88" i="14"/>
  <c r="F72" i="14"/>
  <c r="F64" i="14"/>
  <c r="F56" i="14"/>
  <c r="F48" i="14"/>
  <c r="F40" i="14"/>
  <c r="F95" i="14"/>
  <c r="F71" i="14"/>
  <c r="F63" i="14"/>
  <c r="F55" i="14"/>
  <c r="F47" i="14"/>
  <c r="F39" i="14"/>
  <c r="F94" i="14"/>
  <c r="F78" i="14"/>
  <c r="F70" i="14"/>
  <c r="F62" i="14"/>
  <c r="F46" i="14"/>
  <c r="F38" i="14"/>
  <c r="F30" i="14"/>
  <c r="F93" i="14"/>
  <c r="F77" i="14"/>
  <c r="F69" i="14"/>
  <c r="F61" i="14"/>
  <c r="F45" i="14"/>
  <c r="F37" i="14"/>
  <c r="F29" i="14"/>
  <c r="F92" i="14"/>
  <c r="F76" i="14"/>
  <c r="F68" i="14"/>
  <c r="F60" i="14"/>
  <c r="F52" i="14"/>
  <c r="F44" i="14"/>
  <c r="F36" i="14"/>
  <c r="F28" i="14"/>
  <c r="F91" i="14"/>
  <c r="F67" i="14"/>
  <c r="F59" i="14"/>
  <c r="F43" i="14"/>
  <c r="F35" i="14"/>
  <c r="F98" i="14"/>
  <c r="F58" i="14"/>
  <c r="F42" i="14"/>
  <c r="F24" i="14"/>
  <c r="F103" i="14"/>
  <c r="F102" i="14"/>
  <c r="F101" i="14"/>
  <c r="F100" i="14"/>
  <c r="F99" i="14"/>
  <c r="F106" i="14"/>
  <c r="F97" i="14"/>
  <c r="F89" i="14"/>
  <c r="F81" i="14"/>
  <c r="F73" i="14"/>
  <c r="F65" i="14"/>
  <c r="F57" i="14"/>
  <c r="F49" i="14"/>
  <c r="F41" i="14"/>
  <c r="F33" i="14"/>
  <c r="F51" i="14"/>
  <c r="F27" i="14"/>
  <c r="F90" i="14"/>
  <c r="F66" i="14"/>
  <c r="F50" i="14"/>
  <c r="F34" i="14"/>
  <c r="F97" i="16"/>
  <c r="P79" i="16"/>
  <c r="F86" i="16"/>
  <c r="F91" i="16"/>
  <c r="F80" i="16"/>
  <c r="F71" i="16"/>
  <c r="F63" i="16"/>
  <c r="F53" i="16"/>
  <c r="F44" i="16"/>
  <c r="F36" i="16"/>
  <c r="F28" i="16"/>
  <c r="F70" i="16"/>
  <c r="F62" i="16"/>
  <c r="F51" i="16"/>
  <c r="F43" i="16"/>
  <c r="F35" i="16"/>
  <c r="F27" i="16"/>
  <c r="F41" i="16"/>
  <c r="F59" i="16"/>
  <c r="F32" i="16"/>
  <c r="F66" i="16"/>
  <c r="F39" i="16"/>
  <c r="F46" i="16"/>
  <c r="F79" i="16"/>
  <c r="F94" i="16"/>
  <c r="F69" i="16"/>
  <c r="F61" i="16"/>
  <c r="F50" i="16"/>
  <c r="F42" i="16"/>
  <c r="F34" i="16"/>
  <c r="F67" i="16"/>
  <c r="F24" i="16"/>
  <c r="F58" i="16"/>
  <c r="F45" i="16"/>
  <c r="F93" i="16"/>
  <c r="F68" i="16"/>
  <c r="F60" i="16"/>
  <c r="F49" i="16"/>
  <c r="F33" i="16"/>
  <c r="F48" i="16"/>
  <c r="F74" i="16"/>
  <c r="F31" i="16"/>
  <c r="F30" i="16"/>
  <c r="F81" i="16"/>
  <c r="F92" i="16"/>
  <c r="F75" i="16"/>
  <c r="F40" i="16"/>
  <c r="F47" i="16"/>
  <c r="F65" i="16"/>
  <c r="F72" i="16"/>
  <c r="F29" i="16"/>
  <c r="F83" i="16"/>
  <c r="F82" i="16"/>
  <c r="F73" i="16"/>
  <c r="F38" i="16"/>
  <c r="F64" i="16"/>
  <c r="F37" i="16"/>
  <c r="F25" i="14"/>
  <c r="F26" i="14"/>
  <c r="F22" i="14"/>
  <c r="F23" i="14"/>
  <c r="F23" i="16"/>
  <c r="F22" i="16"/>
  <c r="F23" i="17"/>
  <c r="F22" i="17"/>
  <c r="Y94" i="19"/>
  <c r="AH16" i="19"/>
  <c r="AE79" i="19"/>
  <c r="P49" i="19"/>
  <c r="AH70" i="19"/>
  <c r="Y77" i="19"/>
  <c r="AB23" i="19"/>
  <c r="Y62" i="19"/>
  <c r="AH86" i="19"/>
  <c r="M38" i="19"/>
  <c r="AB76" i="19"/>
  <c r="AE55" i="19"/>
  <c r="AH87" i="19"/>
  <c r="P60" i="19"/>
  <c r="AB96" i="19"/>
  <c r="M57" i="19"/>
  <c r="AE72" i="19"/>
  <c r="P67" i="19"/>
  <c r="V25" i="19"/>
  <c r="Y54" i="19"/>
  <c r="Y67" i="19"/>
  <c r="P84" i="19"/>
  <c r="V54" i="19"/>
  <c r="Y22" i="19"/>
  <c r="AE33" i="19"/>
  <c r="P27" i="19"/>
  <c r="V81" i="19"/>
  <c r="S64" i="19"/>
  <c r="Y96" i="19"/>
  <c r="AH66" i="19"/>
  <c r="AE98" i="19"/>
  <c r="AB51" i="19"/>
  <c r="S71" i="19"/>
  <c r="Y31" i="19"/>
  <c r="AE82" i="19"/>
  <c r="AE99" i="19"/>
  <c r="Y72" i="19"/>
  <c r="M30" i="19"/>
  <c r="P46" i="19"/>
  <c r="P86" i="19"/>
  <c r="P51" i="19"/>
  <c r="AH50" i="19"/>
  <c r="AB65" i="19"/>
  <c r="AB55" i="19"/>
  <c r="AB77" i="19"/>
  <c r="AB100" i="19"/>
  <c r="V29" i="19"/>
  <c r="V57" i="19"/>
  <c r="V86" i="19"/>
  <c r="S75" i="19"/>
  <c r="S21" i="19"/>
  <c r="Y88" i="19"/>
  <c r="Y53" i="19"/>
  <c r="AE48" i="19"/>
  <c r="M12" i="19"/>
  <c r="AH71" i="19"/>
  <c r="AH90" i="19"/>
  <c r="AE64" i="19"/>
  <c r="AE25" i="19"/>
  <c r="AE83" i="19"/>
  <c r="AE102" i="19"/>
  <c r="AE61" i="19"/>
  <c r="AH28" i="19"/>
  <c r="S18" i="19"/>
  <c r="P54" i="19"/>
  <c r="P92" i="19"/>
  <c r="P57" i="19"/>
  <c r="P97" i="19"/>
  <c r="AB34" i="19"/>
  <c r="AB59" i="19"/>
  <c r="AB80" i="19"/>
  <c r="S57" i="19"/>
  <c r="V33" i="19"/>
  <c r="V61" i="19"/>
  <c r="V89" i="19"/>
  <c r="S85" i="19"/>
  <c r="Y86" i="19"/>
  <c r="M26" i="19"/>
  <c r="AE40" i="19"/>
  <c r="AH55" i="19"/>
  <c r="AH74" i="19"/>
  <c r="AH91" i="19"/>
  <c r="Y59" i="19"/>
  <c r="Y23" i="19"/>
  <c r="AE86" i="19"/>
  <c r="Y95" i="19"/>
  <c r="Y60" i="19"/>
  <c r="M22" i="19"/>
  <c r="S16" i="19"/>
  <c r="P29" i="19"/>
  <c r="P94" i="19"/>
  <c r="P69" i="19"/>
  <c r="AB52" i="19"/>
  <c r="AB42" i="19"/>
  <c r="AB71" i="19"/>
  <c r="AB84" i="19"/>
  <c r="V37" i="19"/>
  <c r="V65" i="19"/>
  <c r="V93" i="19"/>
  <c r="S91" i="19"/>
  <c r="S70" i="19"/>
  <c r="AH58" i="19"/>
  <c r="AE56" i="19"/>
  <c r="Y93" i="19"/>
  <c r="P37" i="19"/>
  <c r="S31" i="19"/>
  <c r="AB85" i="19"/>
  <c r="S99" i="19"/>
  <c r="AE71" i="19"/>
  <c r="M14" i="19"/>
  <c r="AE32" i="19"/>
  <c r="AH59" i="19"/>
  <c r="AH78" i="19"/>
  <c r="AH95" i="19"/>
  <c r="AE49" i="19"/>
  <c r="AE13" i="19"/>
  <c r="AE91" i="19"/>
  <c r="Y87" i="19"/>
  <c r="AH52" i="19"/>
  <c r="Y16" i="19"/>
  <c r="P48" i="19"/>
  <c r="P58" i="19"/>
  <c r="P28" i="19"/>
  <c r="S65" i="19"/>
  <c r="S17" i="19"/>
  <c r="AB72" i="19"/>
  <c r="AB22" i="19"/>
  <c r="AB88" i="19"/>
  <c r="V45" i="19"/>
  <c r="V70" i="19"/>
  <c r="V101" i="19"/>
  <c r="S88" i="19"/>
  <c r="Y38" i="19"/>
  <c r="AH94" i="19"/>
  <c r="AE90" i="19"/>
  <c r="AH20" i="19"/>
  <c r="P100" i="19"/>
  <c r="AB33" i="19"/>
  <c r="V97" i="19"/>
  <c r="Y70" i="19"/>
  <c r="M73" i="19"/>
  <c r="Y30" i="19"/>
  <c r="AH62" i="19"/>
  <c r="AH79" i="19"/>
  <c r="AH98" i="19"/>
  <c r="AE41" i="19"/>
  <c r="AE75" i="19"/>
  <c r="AE94" i="19"/>
  <c r="Y85" i="19"/>
  <c r="M46" i="19"/>
  <c r="Y15" i="19"/>
  <c r="P39" i="19"/>
  <c r="P76" i="19"/>
  <c r="P36" i="19"/>
  <c r="P91" i="19"/>
  <c r="S15" i="19"/>
  <c r="AB40" i="19"/>
  <c r="AB30" i="19"/>
  <c r="AB92" i="19"/>
  <c r="V12" i="19"/>
  <c r="V46" i="19"/>
  <c r="V77" i="19"/>
  <c r="V102" i="19"/>
  <c r="S30" i="19"/>
  <c r="S96" i="19"/>
  <c r="Y80" i="19"/>
  <c r="M15" i="19"/>
  <c r="AH75" i="19"/>
  <c r="AE17" i="19"/>
  <c r="M54" i="19"/>
  <c r="P40" i="19"/>
  <c r="AE69" i="19"/>
  <c r="AB64" i="19"/>
  <c r="Y102" i="19"/>
  <c r="V38" i="19"/>
  <c r="V69" i="19"/>
  <c r="S80" i="19"/>
  <c r="AE63" i="19"/>
  <c r="M69" i="19"/>
  <c r="AE24" i="19"/>
  <c r="AH63" i="19"/>
  <c r="AH82" i="19"/>
  <c r="AH102" i="19"/>
  <c r="Y39" i="19"/>
  <c r="AE78" i="19"/>
  <c r="AE95" i="19"/>
  <c r="Y79" i="19"/>
  <c r="AH44" i="19"/>
  <c r="P101" i="19"/>
  <c r="P63" i="19"/>
  <c r="P78" i="19"/>
  <c r="P19" i="19"/>
  <c r="P83" i="19"/>
  <c r="AB43" i="19"/>
  <c r="AB48" i="19"/>
  <c r="AB54" i="19"/>
  <c r="AB93" i="19"/>
  <c r="V22" i="19"/>
  <c r="V49" i="19"/>
  <c r="V78" i="19"/>
  <c r="S60" i="19"/>
  <c r="S38" i="19"/>
  <c r="J100" i="19"/>
  <c r="AH48" i="19"/>
  <c r="AE47" i="19"/>
  <c r="Y45" i="19"/>
  <c r="AH40" i="19"/>
  <c r="AE39" i="19"/>
  <c r="Y37" i="19"/>
  <c r="AH32" i="19"/>
  <c r="AE31" i="19"/>
  <c r="Y29" i="19"/>
  <c r="AH24" i="19"/>
  <c r="AE23" i="19"/>
  <c r="Y21" i="19"/>
  <c r="AH12" i="19"/>
  <c r="M86" i="19"/>
  <c r="M62" i="19"/>
  <c r="AH51" i="19"/>
  <c r="M45" i="19"/>
  <c r="Y40" i="19"/>
  <c r="M37" i="19"/>
  <c r="M102" i="19"/>
  <c r="M96" i="19"/>
  <c r="M92" i="19"/>
  <c r="M88" i="19"/>
  <c r="M82" i="19"/>
  <c r="M78" i="19"/>
  <c r="M66" i="19"/>
  <c r="M53" i="19"/>
  <c r="Y48" i="19"/>
  <c r="AH43" i="19"/>
  <c r="AH35" i="19"/>
  <c r="M100" i="19"/>
  <c r="M98" i="19"/>
  <c r="M94" i="19"/>
  <c r="M90" i="19"/>
  <c r="M84" i="19"/>
  <c r="M80" i="19"/>
  <c r="M76" i="19"/>
  <c r="M70" i="19"/>
  <c r="M58" i="19"/>
  <c r="AE50" i="19"/>
  <c r="AE42" i="19"/>
  <c r="AE73" i="19"/>
  <c r="M71" i="19"/>
  <c r="M67" i="19"/>
  <c r="M63" i="19"/>
  <c r="M59" i="19"/>
  <c r="M55" i="19"/>
  <c r="AH53" i="19"/>
  <c r="AE52" i="19"/>
  <c r="Y50" i="19"/>
  <c r="M47" i="19"/>
  <c r="AH45" i="19"/>
  <c r="AE44" i="19"/>
  <c r="Y42" i="19"/>
  <c r="AH37" i="19"/>
  <c r="AE36" i="19"/>
  <c r="Y34" i="19"/>
  <c r="M31" i="19"/>
  <c r="AH29" i="19"/>
  <c r="AE70" i="19"/>
  <c r="Y65" i="19"/>
  <c r="AH54" i="19"/>
  <c r="AE45" i="19"/>
  <c r="AB36" i="19"/>
  <c r="M33" i="19"/>
  <c r="AE29" i="19"/>
  <c r="Y27" i="19"/>
  <c r="AH22" i="19"/>
  <c r="AB20" i="19"/>
  <c r="AB12" i="19"/>
  <c r="M83" i="19"/>
  <c r="M64" i="19"/>
  <c r="M49" i="19"/>
  <c r="AE28" i="19"/>
  <c r="P24" i="19"/>
  <c r="V17" i="19"/>
  <c r="M56" i="19"/>
  <c r="P30" i="19"/>
  <c r="AE20" i="19"/>
  <c r="V14" i="19"/>
  <c r="M101" i="19"/>
  <c r="M93" i="19"/>
  <c r="M85" i="19"/>
  <c r="M77" i="19"/>
  <c r="AB70" i="19"/>
  <c r="M60" i="19"/>
  <c r="AE54" i="19"/>
  <c r="AB45" i="19"/>
  <c r="M41" i="19"/>
  <c r="Y36" i="19"/>
  <c r="Y32" i="19"/>
  <c r="AB29" i="19"/>
  <c r="M25" i="19"/>
  <c r="AE22" i="19"/>
  <c r="Y20" i="19"/>
  <c r="P18" i="19"/>
  <c r="P16" i="19"/>
  <c r="P14" i="19"/>
  <c r="AE12" i="19"/>
  <c r="M91" i="19"/>
  <c r="M75" i="19"/>
  <c r="AB58" i="19"/>
  <c r="Y44" i="19"/>
  <c r="AH31" i="19"/>
  <c r="AH21" i="19"/>
  <c r="V15" i="19"/>
  <c r="M72" i="19"/>
  <c r="P42" i="19"/>
  <c r="M23" i="19"/>
  <c r="Y12" i="19"/>
  <c r="Y69" i="19"/>
  <c r="AE58" i="19"/>
  <c r="AE53" i="19"/>
  <c r="AB44" i="19"/>
  <c r="M40" i="19"/>
  <c r="Y35" i="19"/>
  <c r="M32" i="19"/>
  <c r="M29" i="19"/>
  <c r="AE26" i="19"/>
  <c r="Y24" i="19"/>
  <c r="P22" i="19"/>
  <c r="AH19" i="19"/>
  <c r="AB17" i="19"/>
  <c r="AB15" i="19"/>
  <c r="AB13" i="19"/>
  <c r="M99" i="19"/>
  <c r="AB53" i="19"/>
  <c r="AH39" i="19"/>
  <c r="Y26" i="19"/>
  <c r="AB19" i="19"/>
  <c r="V13" i="19"/>
  <c r="AB37" i="19"/>
  <c r="AB27" i="19"/>
  <c r="V16" i="19"/>
  <c r="Y73" i="19"/>
  <c r="AE62" i="19"/>
  <c r="Y57" i="19"/>
  <c r="M48" i="19"/>
  <c r="Y43" i="19"/>
  <c r="AH38" i="19"/>
  <c r="AE34" i="19"/>
  <c r="M24" i="19"/>
  <c r="AE21" i="19"/>
  <c r="Y19" i="19"/>
  <c r="M97" i="19"/>
  <c r="M89" i="19"/>
  <c r="M81" i="19"/>
  <c r="M68" i="19"/>
  <c r="AB62" i="19"/>
  <c r="Y52" i="19"/>
  <c r="AH47" i="19"/>
  <c r="AE38" i="19"/>
  <c r="AH30" i="19"/>
  <c r="Y28" i="19"/>
  <c r="AH23" i="19"/>
  <c r="AB21" i="19"/>
  <c r="P95" i="19"/>
  <c r="P87" i="19"/>
  <c r="P79" i="19"/>
  <c r="P72" i="19"/>
  <c r="AE66" i="19"/>
  <c r="Y61" i="19"/>
  <c r="P56" i="19"/>
  <c r="Y51" i="19"/>
  <c r="AH46" i="19"/>
  <c r="AE37" i="19"/>
  <c r="P34" i="19"/>
  <c r="AE30" i="19"/>
  <c r="AH27" i="19"/>
  <c r="AB25" i="19"/>
  <c r="M21" i="19"/>
  <c r="AE18" i="19"/>
  <c r="AB16" i="19"/>
  <c r="AB14" i="19"/>
  <c r="M95" i="19"/>
  <c r="M87" i="19"/>
  <c r="M79" i="19"/>
  <c r="AB66" i="19"/>
  <c r="AE46" i="19"/>
  <c r="P33" i="19"/>
  <c r="Y18" i="19"/>
  <c r="P50" i="19"/>
  <c r="S102" i="19"/>
  <c r="S86" i="19"/>
  <c r="S62" i="19"/>
  <c r="S63" i="19"/>
  <c r="S22" i="19"/>
  <c r="S97" i="19"/>
  <c r="S81" i="19"/>
  <c r="S56" i="19"/>
  <c r="V100" i="19"/>
  <c r="V92" i="19"/>
  <c r="V84" i="19"/>
  <c r="V76" i="19"/>
  <c r="V68" i="19"/>
  <c r="V60" i="19"/>
  <c r="V52" i="19"/>
  <c r="V44" i="19"/>
  <c r="V36" i="19"/>
  <c r="V28" i="19"/>
  <c r="V20" i="19"/>
  <c r="P13" i="19"/>
  <c r="S73" i="19"/>
  <c r="AB95" i="19"/>
  <c r="AB87" i="19"/>
  <c r="AB79" i="19"/>
  <c r="AB46" i="19"/>
  <c r="AB67" i="19"/>
  <c r="AB68" i="19"/>
  <c r="AB60" i="19"/>
  <c r="AB61" i="19"/>
  <c r="S26" i="19"/>
  <c r="S61" i="19"/>
  <c r="P99" i="19"/>
  <c r="P65" i="19"/>
  <c r="P52" i="19"/>
  <c r="P98" i="19"/>
  <c r="P82" i="19"/>
  <c r="P53" i="19"/>
  <c r="P38" i="19"/>
  <c r="P31" i="19"/>
  <c r="P25" i="19"/>
  <c r="Y13" i="19"/>
  <c r="Y25" i="19"/>
  <c r="Y41" i="19"/>
  <c r="Y56" i="19"/>
  <c r="M74" i="19"/>
  <c r="Y89" i="19"/>
  <c r="AE101" i="19"/>
  <c r="AE93" i="19"/>
  <c r="AE85" i="19"/>
  <c r="AE77" i="19"/>
  <c r="AH18" i="19"/>
  <c r="AH34" i="19"/>
  <c r="M52" i="19"/>
  <c r="AE68" i="19"/>
  <c r="AH97" i="19"/>
  <c r="AH89" i="19"/>
  <c r="AH81" i="19"/>
  <c r="AH73" i="19"/>
  <c r="AH65" i="19"/>
  <c r="AH57" i="19"/>
  <c r="AH17" i="19"/>
  <c r="AH33" i="19"/>
  <c r="AH49" i="19"/>
  <c r="Y74" i="19"/>
  <c r="M34" i="19"/>
  <c r="Y66" i="19"/>
  <c r="Y82" i="19"/>
  <c r="Y98" i="19"/>
  <c r="S98" i="19"/>
  <c r="S93" i="19"/>
  <c r="V98" i="19"/>
  <c r="V82" i="19"/>
  <c r="V66" i="19"/>
  <c r="V50" i="19"/>
  <c r="V34" i="19"/>
  <c r="V18" i="19"/>
  <c r="AB101" i="19"/>
  <c r="S100" i="19"/>
  <c r="S84" i="19"/>
  <c r="S58" i="19"/>
  <c r="S59" i="19"/>
  <c r="S67" i="19"/>
  <c r="S95" i="19"/>
  <c r="S79" i="19"/>
  <c r="V99" i="19"/>
  <c r="V91" i="19"/>
  <c r="V83" i="19"/>
  <c r="V75" i="19"/>
  <c r="V67" i="19"/>
  <c r="V59" i="19"/>
  <c r="V51" i="19"/>
  <c r="V43" i="19"/>
  <c r="V35" i="19"/>
  <c r="V27" i="19"/>
  <c r="V19" i="19"/>
  <c r="P15" i="19"/>
  <c r="AB102" i="19"/>
  <c r="AB94" i="19"/>
  <c r="AB86" i="19"/>
  <c r="AB78" i="19"/>
  <c r="AB38" i="19"/>
  <c r="AB63" i="19"/>
  <c r="AB56" i="19"/>
  <c r="AB50" i="19"/>
  <c r="AB57" i="19"/>
  <c r="AB28" i="19"/>
  <c r="S69" i="19"/>
  <c r="S27" i="19"/>
  <c r="P61" i="19"/>
  <c r="P44" i="19"/>
  <c r="P96" i="19"/>
  <c r="P80" i="19"/>
  <c r="P45" i="19"/>
  <c r="P71" i="19"/>
  <c r="P23" i="19"/>
  <c r="P41" i="19"/>
  <c r="Y14" i="19"/>
  <c r="AE27" i="19"/>
  <c r="AE43" i="19"/>
  <c r="AE57" i="19"/>
  <c r="Y75" i="19"/>
  <c r="Y91" i="19"/>
  <c r="AE100" i="19"/>
  <c r="AE92" i="19"/>
  <c r="AE84" i="19"/>
  <c r="AE76" i="19"/>
  <c r="M20" i="19"/>
  <c r="M36" i="19"/>
  <c r="Y55" i="19"/>
  <c r="Y71" i="19"/>
  <c r="AH96" i="19"/>
  <c r="AH88" i="19"/>
  <c r="AH80" i="19"/>
  <c r="AH72" i="19"/>
  <c r="AH64" i="19"/>
  <c r="AH56" i="19"/>
  <c r="M35" i="19"/>
  <c r="M51" i="19"/>
  <c r="M13" i="19"/>
  <c r="M42" i="19"/>
  <c r="AE67" i="19"/>
  <c r="Y84" i="19"/>
  <c r="Y100" i="19"/>
  <c r="S82" i="19"/>
  <c r="S53" i="19"/>
  <c r="S77" i="19"/>
  <c r="V90" i="19"/>
  <c r="V74" i="19"/>
  <c r="V58" i="19"/>
  <c r="V42" i="19"/>
  <c r="V26" i="19"/>
  <c r="P17" i="19"/>
  <c r="S28" i="19"/>
  <c r="S94" i="19"/>
  <c r="S78" i="19"/>
  <c r="S37" i="19"/>
  <c r="S54" i="19"/>
  <c r="S32" i="19"/>
  <c r="S89" i="19"/>
  <c r="S72" i="19"/>
  <c r="S25" i="19"/>
  <c r="V96" i="19"/>
  <c r="V88" i="19"/>
  <c r="V80" i="19"/>
  <c r="V72" i="19"/>
  <c r="V64" i="19"/>
  <c r="V56" i="19"/>
  <c r="V48" i="19"/>
  <c r="V40" i="19"/>
  <c r="V32" i="19"/>
  <c r="V24" i="19"/>
  <c r="S12" i="19"/>
  <c r="P26" i="19"/>
  <c r="AB99" i="19"/>
  <c r="AB91" i="19"/>
  <c r="AB83" i="19"/>
  <c r="AB75" i="19"/>
  <c r="AB49" i="19"/>
  <c r="AB47" i="19"/>
  <c r="AB32" i="19"/>
  <c r="AB26" i="19"/>
  <c r="AB35" i="19"/>
  <c r="P68" i="19"/>
  <c r="P64" i="19"/>
  <c r="S35" i="19"/>
  <c r="P43" i="19"/>
  <c r="P20" i="19"/>
  <c r="P90" i="19"/>
  <c r="P70" i="19"/>
  <c r="P21" i="19"/>
  <c r="P59" i="19"/>
  <c r="P32" i="19"/>
  <c r="P77" i="19"/>
  <c r="Y17" i="19"/>
  <c r="Y33" i="19"/>
  <c r="Y49" i="19"/>
  <c r="Y64" i="19"/>
  <c r="Y81" i="19"/>
  <c r="Y97" i="19"/>
  <c r="AE97" i="19"/>
  <c r="AE89" i="19"/>
  <c r="AE81" i="19"/>
  <c r="AE14" i="19"/>
  <c r="AH26" i="19"/>
  <c r="AH42" i="19"/>
  <c r="AE60" i="19"/>
  <c r="AH101" i="19"/>
  <c r="AH93" i="19"/>
  <c r="AH85" i="19"/>
  <c r="AH77" i="19"/>
  <c r="AH69" i="19"/>
  <c r="AH61" i="19"/>
  <c r="AH13" i="19"/>
  <c r="AH25" i="19"/>
  <c r="AH41" i="19"/>
  <c r="M61" i="19"/>
  <c r="M16" i="19"/>
  <c r="Y58" i="19"/>
  <c r="AE74" i="19"/>
  <c r="Y90" i="19"/>
  <c r="S20" i="19"/>
  <c r="S92" i="19"/>
  <c r="S76" i="19"/>
  <c r="S29" i="19"/>
  <c r="S24" i="19"/>
  <c r="S87" i="19"/>
  <c r="S68" i="19"/>
  <c r="V95" i="19"/>
  <c r="V87" i="19"/>
  <c r="V79" i="19"/>
  <c r="V71" i="19"/>
  <c r="V63" i="19"/>
  <c r="V55" i="19"/>
  <c r="V47" i="19"/>
  <c r="V39" i="19"/>
  <c r="V31" i="19"/>
  <c r="V23" i="19"/>
  <c r="S23" i="19"/>
  <c r="S34" i="19"/>
  <c r="AB98" i="19"/>
  <c r="AB90" i="19"/>
  <c r="AB82" i="19"/>
  <c r="AB74" i="19"/>
  <c r="AB41" i="19"/>
  <c r="AB39" i="19"/>
  <c r="AB24" i="19"/>
  <c r="AB18" i="19"/>
  <c r="S13" i="19"/>
  <c r="P81" i="19"/>
  <c r="P75" i="19"/>
  <c r="M50" i="19"/>
  <c r="P35" i="19"/>
  <c r="P74" i="19"/>
  <c r="P88" i="19"/>
  <c r="P66" i="19"/>
  <c r="P12" i="19"/>
  <c r="P55" i="19"/>
  <c r="S14" i="19"/>
  <c r="P85" i="19"/>
  <c r="AE19" i="19"/>
  <c r="AE35" i="19"/>
  <c r="AE51" i="19"/>
  <c r="AE65" i="19"/>
  <c r="Y83" i="19"/>
  <c r="Y99" i="19"/>
  <c r="AE96" i="19"/>
  <c r="AE88" i="19"/>
  <c r="AE80" i="19"/>
  <c r="AE15" i="19"/>
  <c r="M28" i="19"/>
  <c r="M44" i="19"/>
  <c r="Y63" i="19"/>
  <c r="AH100" i="19"/>
  <c r="AH92" i="19"/>
  <c r="AH84" i="19"/>
  <c r="AH76" i="19"/>
  <c r="AH68" i="19"/>
  <c r="AH60" i="19"/>
  <c r="AH14" i="19"/>
  <c r="M27" i="19"/>
  <c r="M43" i="19"/>
  <c r="M65" i="19"/>
  <c r="M17" i="19"/>
  <c r="AE59" i="19"/>
  <c r="Y76" i="19"/>
  <c r="Y92" i="19"/>
  <c r="Y78" i="19"/>
  <c r="M18" i="19"/>
  <c r="Y46" i="19"/>
  <c r="AH15" i="19"/>
  <c r="AH67" i="19"/>
  <c r="AH83" i="19"/>
  <c r="AH99" i="19"/>
  <c r="Y47" i="19"/>
  <c r="AE16" i="19"/>
  <c r="AE87" i="19"/>
  <c r="Y101" i="19"/>
  <c r="Y68" i="19"/>
  <c r="AH36" i="19"/>
  <c r="P93" i="19"/>
  <c r="P47" i="19"/>
  <c r="P62" i="19"/>
  <c r="P102" i="19"/>
  <c r="P73" i="19"/>
  <c r="P89" i="19"/>
  <c r="AB69" i="19"/>
  <c r="AB31" i="19"/>
  <c r="AB73" i="19"/>
  <c r="AB89" i="19"/>
  <c r="S19" i="19"/>
  <c r="V30" i="19"/>
  <c r="V53" i="19"/>
  <c r="V73" i="19"/>
  <c r="V94" i="19"/>
  <c r="S83" i="19"/>
  <c r="S74" i="19"/>
  <c r="S90" i="19"/>
  <c r="S55" i="19"/>
  <c r="AB81" i="19"/>
  <c r="AB97" i="19"/>
  <c r="V21" i="19"/>
  <c r="V41" i="19"/>
  <c r="V62" i="19"/>
  <c r="V85" i="19"/>
  <c r="S33" i="19"/>
  <c r="S101" i="19"/>
  <c r="S66" i="19"/>
  <c r="S36" i="19"/>
  <c r="J22" i="19"/>
  <c r="J50" i="19"/>
  <c r="J13" i="19"/>
  <c r="J17" i="19"/>
  <c r="J21" i="19"/>
  <c r="J25" i="19"/>
  <c r="J29" i="19"/>
  <c r="J41" i="19"/>
  <c r="J45" i="19"/>
  <c r="J49" i="19"/>
  <c r="J53" i="19"/>
  <c r="J57" i="19"/>
  <c r="J61" i="19"/>
  <c r="J65" i="19"/>
  <c r="J69" i="19"/>
  <c r="J73" i="19"/>
  <c r="J77" i="19"/>
  <c r="J81" i="19"/>
  <c r="J85" i="19"/>
  <c r="J89" i="19"/>
  <c r="J93" i="19"/>
  <c r="J97" i="19"/>
  <c r="J101" i="19"/>
  <c r="J90" i="19"/>
  <c r="J26" i="19"/>
  <c r="J42" i="19"/>
  <c r="J58" i="19"/>
  <c r="J70" i="19"/>
  <c r="J82" i="19"/>
  <c r="J98" i="19"/>
  <c r="J23" i="19"/>
  <c r="J39" i="19"/>
  <c r="J55" i="19"/>
  <c r="J71" i="19"/>
  <c r="J91" i="19"/>
  <c r="J14" i="19"/>
  <c r="J18" i="19"/>
  <c r="J30" i="19"/>
  <c r="J38" i="19"/>
  <c r="J46" i="19"/>
  <c r="J54" i="19"/>
  <c r="J62" i="19"/>
  <c r="J66" i="19"/>
  <c r="J74" i="19"/>
  <c r="J78" i="19"/>
  <c r="J86" i="19"/>
  <c r="J94" i="19"/>
  <c r="J102" i="19"/>
  <c r="J15" i="19"/>
  <c r="J19" i="19"/>
  <c r="J27" i="19"/>
  <c r="J31" i="19"/>
  <c r="J35" i="19"/>
  <c r="J43" i="19"/>
  <c r="J47" i="19"/>
  <c r="J51" i="19"/>
  <c r="J59" i="19"/>
  <c r="J63" i="19"/>
  <c r="J67" i="19"/>
  <c r="J75" i="19"/>
  <c r="J79" i="19"/>
  <c r="J83" i="19"/>
  <c r="J87" i="19"/>
  <c r="J95" i="19"/>
  <c r="J99" i="19"/>
  <c r="J12" i="19"/>
  <c r="J16" i="19"/>
  <c r="J20" i="19"/>
  <c r="J24" i="19"/>
  <c r="J28" i="19"/>
  <c r="J32" i="19"/>
  <c r="J36" i="19"/>
  <c r="J40" i="19"/>
  <c r="J44" i="19"/>
  <c r="J48" i="19"/>
  <c r="J52" i="19"/>
  <c r="J56" i="19"/>
  <c r="J60" i="19"/>
  <c r="J64" i="19"/>
  <c r="J68" i="19"/>
  <c r="J72" i="19"/>
  <c r="J76" i="19"/>
  <c r="J80" i="19"/>
  <c r="J84" i="19"/>
  <c r="J88" i="19"/>
  <c r="J92" i="19"/>
  <c r="J96" i="19"/>
  <c r="C12" i="19" l="1"/>
  <c r="D12" i="19" s="1"/>
  <c r="D40" i="20"/>
  <c r="N40" i="20" l="1"/>
  <c r="O40" i="20" s="1"/>
  <c r="H40" i="20"/>
  <c r="E39" i="20"/>
  <c r="C13" i="19"/>
  <c r="D13" i="19" s="1"/>
  <c r="D41" i="20"/>
  <c r="N41" i="20" l="1"/>
  <c r="O41" i="20" s="1"/>
  <c r="H41" i="20"/>
  <c r="E40" i="20"/>
  <c r="C14" i="19"/>
  <c r="D14" i="19" s="1"/>
  <c r="D42" i="20"/>
  <c r="N42" i="20" l="1"/>
  <c r="O42" i="20" s="1"/>
  <c r="H42" i="20"/>
  <c r="E41" i="20"/>
  <c r="C15" i="19"/>
  <c r="D15" i="19" s="1"/>
  <c r="E42" i="20" s="1"/>
  <c r="D43" i="20"/>
  <c r="N43" i="20" l="1"/>
  <c r="O43" i="20" s="1"/>
  <c r="H43" i="20"/>
  <c r="C16" i="19"/>
  <c r="D44" i="20"/>
  <c r="N44" i="20" l="1"/>
  <c r="O44" i="20" s="1"/>
  <c r="H44" i="20"/>
  <c r="D16" i="19"/>
  <c r="E43" i="20" s="1"/>
  <c r="C17" i="19"/>
  <c r="D17" i="19" s="1"/>
  <c r="E44" i="20" s="1"/>
  <c r="D45" i="20"/>
  <c r="N45" i="20" l="1"/>
  <c r="O45" i="20" s="1"/>
  <c r="H45" i="20"/>
  <c r="D46" i="20"/>
  <c r="C18" i="19"/>
  <c r="D18" i="19" s="1"/>
  <c r="E45" i="20" s="1"/>
  <c r="N46" i="20" l="1"/>
  <c r="O46" i="20" s="1"/>
  <c r="H46" i="20"/>
  <c r="D47" i="20"/>
  <c r="C19" i="19"/>
  <c r="D19" i="19" s="1"/>
  <c r="E46" i="20" s="1"/>
  <c r="N47" i="20" l="1"/>
  <c r="O47" i="20" s="1"/>
  <c r="H47" i="20"/>
  <c r="D48" i="20"/>
  <c r="C20" i="19"/>
  <c r="D20" i="19" s="1"/>
  <c r="E47" i="20" s="1"/>
  <c r="N48" i="20" l="1"/>
  <c r="O48" i="20" s="1"/>
  <c r="H48" i="20"/>
  <c r="D49" i="20"/>
  <c r="C21" i="19"/>
  <c r="D21" i="19" s="1"/>
  <c r="E48" i="20" s="1"/>
  <c r="N49" i="20" l="1"/>
  <c r="O49" i="20" s="1"/>
  <c r="H49" i="20"/>
  <c r="D50" i="20"/>
  <c r="C22" i="19"/>
  <c r="D22" i="19" s="1"/>
  <c r="N50" i="20" l="1"/>
  <c r="O50" i="20" s="1"/>
  <c r="H50" i="20"/>
  <c r="E49" i="20"/>
  <c r="C23" i="19"/>
  <c r="D23" i="19" s="1"/>
  <c r="E50" i="20" s="1"/>
  <c r="D51" i="20"/>
  <c r="N51" i="20" l="1"/>
  <c r="O51" i="20" s="1"/>
  <c r="H51" i="20"/>
  <c r="D52" i="20"/>
  <c r="C24" i="19"/>
  <c r="D24" i="19" s="1"/>
  <c r="N52" i="20" l="1"/>
  <c r="O52" i="20" s="1"/>
  <c r="H52" i="20"/>
  <c r="E51" i="20"/>
  <c r="D53" i="20"/>
  <c r="C25" i="19"/>
  <c r="D25" i="19" s="1"/>
  <c r="N53" i="20" l="1"/>
  <c r="O53" i="20" s="1"/>
  <c r="H53" i="20"/>
  <c r="E52" i="20"/>
  <c r="D54" i="20"/>
  <c r="C26" i="19"/>
  <c r="D26" i="19" s="1"/>
  <c r="E53" i="20" s="1"/>
  <c r="N54" i="20" l="1"/>
  <c r="O54" i="20" s="1"/>
  <c r="H54" i="20"/>
  <c r="C27" i="19"/>
  <c r="D27" i="19" s="1"/>
  <c r="D55" i="20"/>
  <c r="N55" i="20" l="1"/>
  <c r="O55" i="20" s="1"/>
  <c r="H55" i="20"/>
  <c r="E54" i="20"/>
  <c r="C28" i="19"/>
  <c r="D28" i="19" s="1"/>
  <c r="D56" i="20"/>
  <c r="N56" i="20" l="1"/>
  <c r="O56" i="20" s="1"/>
  <c r="H56" i="20"/>
  <c r="E55" i="20"/>
  <c r="D57" i="20"/>
  <c r="C29" i="19"/>
  <c r="D29" i="19" s="1"/>
  <c r="N57" i="20" l="1"/>
  <c r="O57" i="20" s="1"/>
  <c r="H57" i="20"/>
  <c r="E56" i="20"/>
  <c r="C30" i="19"/>
  <c r="D30" i="19" s="1"/>
  <c r="E57" i="20" s="1"/>
  <c r="D58" i="20"/>
  <c r="N58" i="20" l="1"/>
  <c r="O58" i="20" s="1"/>
  <c r="H58" i="20"/>
  <c r="D59" i="20"/>
  <c r="C31" i="19"/>
  <c r="D31" i="19" s="1"/>
  <c r="E58" i="20" s="1"/>
  <c r="N59" i="20" l="1"/>
  <c r="O59" i="20" s="1"/>
  <c r="H59" i="20"/>
  <c r="C32" i="19"/>
  <c r="D32" i="19" s="1"/>
  <c r="D60" i="20"/>
  <c r="N60" i="20" l="1"/>
  <c r="H60" i="20"/>
  <c r="E59" i="20"/>
  <c r="C33" i="19"/>
  <c r="D33" i="19" s="1"/>
  <c r="D61" i="20"/>
  <c r="N61" i="20" l="1"/>
  <c r="H61" i="20"/>
  <c r="E60" i="20"/>
  <c r="C34" i="19"/>
  <c r="D34" i="19" s="1"/>
  <c r="E61" i="20" s="1"/>
  <c r="D62" i="20"/>
  <c r="D63" i="20" l="1"/>
  <c r="N63" i="20" s="1"/>
  <c r="C35" i="19"/>
  <c r="D35" i="19" s="1"/>
  <c r="E62" i="20" l="1"/>
  <c r="D64" i="20"/>
  <c r="N64" i="20" s="1"/>
  <c r="C36" i="19"/>
  <c r="D36" i="19" s="1"/>
  <c r="E63" i="20" l="1"/>
  <c r="C37" i="19"/>
  <c r="D37" i="19" s="1"/>
  <c r="E64" i="20" s="1"/>
  <c r="D65" i="20"/>
  <c r="N65" i="20" s="1"/>
  <c r="D66" i="20" l="1"/>
  <c r="N66" i="20" s="1"/>
  <c r="C38" i="19"/>
  <c r="D38" i="19" s="1"/>
  <c r="L66" i="20" l="1"/>
  <c r="M66" i="20" s="1"/>
  <c r="E65" i="20"/>
  <c r="D67" i="20"/>
  <c r="N67" i="20" s="1"/>
  <c r="C39" i="19"/>
  <c r="D39" i="19" s="1"/>
  <c r="L67" i="20" l="1"/>
  <c r="M67" i="20" s="1"/>
  <c r="E66" i="20"/>
  <c r="D68" i="20"/>
  <c r="N68" i="20" s="1"/>
  <c r="C40" i="19"/>
  <c r="D40" i="19" s="1"/>
  <c r="L68" i="20" l="1"/>
  <c r="M68" i="20" s="1"/>
  <c r="E67" i="20"/>
  <c r="D69" i="20"/>
  <c r="C41" i="19"/>
  <c r="D41" i="19" s="1"/>
  <c r="E68" i="20" s="1"/>
  <c r="L69" i="20" l="1"/>
  <c r="M69" i="20" s="1"/>
  <c r="D70" i="20"/>
  <c r="C42" i="19"/>
  <c r="D42" i="19" s="1"/>
  <c r="E69" i="20" s="1"/>
  <c r="L70" i="20" l="1"/>
  <c r="M70" i="20" s="1"/>
  <c r="C43" i="19"/>
  <c r="D43" i="19" s="1"/>
  <c r="D71" i="20"/>
  <c r="N71" i="20" s="1"/>
  <c r="L71" i="20" l="1"/>
  <c r="M71" i="20" s="1"/>
  <c r="E70" i="20"/>
  <c r="D72" i="20"/>
  <c r="C44" i="19"/>
  <c r="D44" i="19" s="1"/>
  <c r="L72" i="20" l="1"/>
  <c r="M72" i="20" s="1"/>
  <c r="E71" i="20"/>
  <c r="C45" i="19"/>
  <c r="D45" i="19" s="1"/>
  <c r="D73" i="20"/>
  <c r="E72" i="20" l="1"/>
  <c r="L73" i="20"/>
  <c r="M73" i="20" s="1"/>
  <c r="D74" i="20"/>
  <c r="C46" i="19"/>
  <c r="D46" i="19" s="1"/>
  <c r="E73" i="20" s="1"/>
  <c r="L74" i="20" l="1"/>
  <c r="M74" i="20" s="1"/>
  <c r="D75" i="20"/>
  <c r="N75" i="20" s="1"/>
  <c r="C47" i="19"/>
  <c r="D47" i="19" s="1"/>
  <c r="E74" i="20" l="1"/>
  <c r="L75" i="20"/>
  <c r="M75" i="20" s="1"/>
  <c r="D76" i="20"/>
  <c r="N76" i="20" s="1"/>
  <c r="C48" i="19"/>
  <c r="D48" i="19" s="1"/>
  <c r="E75" i="20" s="1"/>
  <c r="L76" i="20" l="1"/>
  <c r="M76" i="20" s="1"/>
  <c r="D77" i="20"/>
  <c r="N77" i="20" s="1"/>
  <c r="C49" i="19"/>
  <c r="D49" i="19" s="1"/>
  <c r="E76" i="20" s="1"/>
  <c r="L77" i="20" l="1"/>
  <c r="M77" i="20" s="1"/>
  <c r="D78" i="20"/>
  <c r="N78" i="20" s="1"/>
  <c r="C50" i="19"/>
  <c r="D50" i="19" s="1"/>
  <c r="E77" i="20" s="1"/>
  <c r="L78" i="20" l="1"/>
  <c r="M78" i="20" s="1"/>
  <c r="C51" i="19"/>
  <c r="D51" i="19" s="1"/>
  <c r="E78" i="20" s="1"/>
  <c r="D79" i="20"/>
  <c r="N79" i="20" s="1"/>
  <c r="L79" i="20" l="1"/>
  <c r="M79" i="20" s="1"/>
  <c r="D80" i="20"/>
  <c r="N80" i="20" s="1"/>
  <c r="C52" i="19"/>
  <c r="D52" i="19" s="1"/>
  <c r="L80" i="20" l="1"/>
  <c r="M80" i="20" s="1"/>
  <c r="E79" i="20"/>
  <c r="D81" i="20"/>
  <c r="N81" i="20" s="1"/>
  <c r="C53" i="19"/>
  <c r="D53" i="19" s="1"/>
  <c r="E80" i="20" s="1"/>
  <c r="L81" i="20" l="1"/>
  <c r="M81" i="20" s="1"/>
  <c r="D82" i="20"/>
  <c r="N82" i="20" s="1"/>
  <c r="C54" i="19"/>
  <c r="D54" i="19" s="1"/>
  <c r="E81" i="20" s="1"/>
  <c r="L82" i="20" l="1"/>
  <c r="M82" i="20" s="1"/>
  <c r="D83" i="20"/>
  <c r="N83" i="20" s="1"/>
  <c r="C55" i="19"/>
  <c r="D55" i="19" s="1"/>
  <c r="L83" i="20" l="1"/>
  <c r="M83" i="20" s="1"/>
  <c r="E82" i="20"/>
  <c r="D84" i="20"/>
  <c r="N84" i="20" s="1"/>
  <c r="C56" i="19"/>
  <c r="D56" i="19" s="1"/>
  <c r="L84" i="20" l="1"/>
  <c r="M84" i="20" s="1"/>
  <c r="E83" i="20"/>
  <c r="D85" i="20"/>
  <c r="N85" i="20" s="1"/>
  <c r="C57" i="19"/>
  <c r="D57" i="19" s="1"/>
  <c r="E84" i="20" s="1"/>
  <c r="L85" i="20" l="1"/>
  <c r="M85" i="20" s="1"/>
  <c r="D86" i="20"/>
  <c r="N86" i="20" s="1"/>
  <c r="C58" i="19"/>
  <c r="D58" i="19" s="1"/>
  <c r="L86" i="20" l="1"/>
  <c r="M86" i="20" s="1"/>
  <c r="E85" i="20"/>
  <c r="D87" i="20"/>
  <c r="N87" i="20" s="1"/>
  <c r="C59" i="19"/>
  <c r="D59" i="19" s="1"/>
  <c r="E86" i="20" s="1"/>
  <c r="L87" i="20" l="1"/>
  <c r="M87" i="20" s="1"/>
  <c r="D88" i="20"/>
  <c r="N88" i="20" s="1"/>
  <c r="C60" i="19"/>
  <c r="D60" i="19" s="1"/>
  <c r="E87" i="20" s="1"/>
  <c r="L88" i="20" l="1"/>
  <c r="M88" i="20" s="1"/>
  <c r="C61" i="19"/>
  <c r="D61" i="19" s="1"/>
  <c r="E88" i="20" s="1"/>
  <c r="D89" i="20"/>
  <c r="N89" i="20" s="1"/>
  <c r="L89" i="20" l="1"/>
  <c r="M89" i="20" s="1"/>
  <c r="D90" i="20"/>
  <c r="N90" i="20" s="1"/>
  <c r="C62" i="19"/>
  <c r="D62" i="19" s="1"/>
  <c r="E89" i="20" s="1"/>
  <c r="L90" i="20" l="1"/>
  <c r="M90" i="20" s="1"/>
  <c r="D91" i="20"/>
  <c r="N91" i="20" s="1"/>
  <c r="C63" i="19"/>
  <c r="D63" i="19" s="1"/>
  <c r="E90" i="20" s="1"/>
  <c r="L91" i="20" l="1"/>
  <c r="M91" i="20" s="1"/>
  <c r="D92" i="20"/>
  <c r="N92" i="20" s="1"/>
  <c r="C64" i="19"/>
  <c r="D64" i="19" s="1"/>
  <c r="L92" i="20" l="1"/>
  <c r="M92" i="20" s="1"/>
  <c r="E91" i="20"/>
  <c r="D93" i="20"/>
  <c r="C65" i="19"/>
  <c r="D65" i="19" s="1"/>
  <c r="E92" i="20" s="1"/>
  <c r="N93" i="20" l="1"/>
  <c r="L93" i="20"/>
  <c r="M93" i="20" s="1"/>
  <c r="C66" i="19"/>
  <c r="D94" i="20"/>
  <c r="N94" i="20" l="1"/>
  <c r="D66" i="19"/>
  <c r="E93" i="20" s="1"/>
  <c r="L94" i="20"/>
  <c r="M94" i="20" s="1"/>
  <c r="D95" i="20"/>
  <c r="C67" i="19"/>
  <c r="N95" i="20" l="1"/>
  <c r="D67" i="19"/>
  <c r="E94" i="20" s="1"/>
  <c r="L95" i="20"/>
  <c r="M95" i="20" s="1"/>
  <c r="C68" i="19"/>
  <c r="D68" i="19" s="1"/>
  <c r="E95" i="20" s="1"/>
  <c r="D96" i="20"/>
  <c r="N96" i="20" l="1"/>
  <c r="L96" i="20"/>
  <c r="M96" i="20" s="1"/>
  <c r="D97" i="20"/>
  <c r="C69" i="19"/>
  <c r="D69" i="19" s="1"/>
  <c r="E96" i="20" s="1"/>
  <c r="N97" i="20" l="1"/>
  <c r="L97" i="20"/>
  <c r="M97" i="20" s="1"/>
  <c r="D98" i="20"/>
  <c r="C70" i="19"/>
  <c r="D70" i="19" s="1"/>
  <c r="E97" i="20" s="1"/>
  <c r="N98" i="20" l="1"/>
  <c r="L98" i="20"/>
  <c r="M98" i="20" s="1"/>
  <c r="F98" i="20"/>
  <c r="E98" i="20"/>
  <c r="R98" i="20"/>
  <c r="U98" i="20"/>
  <c r="G98" i="20"/>
  <c r="D99" i="20"/>
  <c r="C71" i="19"/>
  <c r="D71" i="19" s="1"/>
  <c r="N99" i="20" l="1"/>
  <c r="H99" i="20"/>
  <c r="L99" i="20"/>
  <c r="M99" i="20" s="1"/>
  <c r="R99" i="20"/>
  <c r="U99" i="20"/>
  <c r="G99" i="20"/>
  <c r="F99" i="20"/>
  <c r="E99" i="20"/>
  <c r="C72" i="19"/>
  <c r="D72" i="19" s="1"/>
  <c r="D100" i="20"/>
  <c r="N100" i="20" l="1"/>
  <c r="H100" i="20"/>
  <c r="L100" i="20"/>
  <c r="M100" i="20" s="1"/>
  <c r="F100" i="20"/>
  <c r="R100" i="20"/>
  <c r="G100" i="20"/>
  <c r="E100" i="20"/>
  <c r="U100" i="20"/>
  <c r="C73" i="19"/>
  <c r="D73" i="19" s="1"/>
  <c r="D101" i="20"/>
  <c r="N101" i="20" l="1"/>
  <c r="H101" i="20"/>
  <c r="L101" i="20"/>
  <c r="M101" i="20" s="1"/>
  <c r="R101" i="20"/>
  <c r="G101" i="20"/>
  <c r="U101" i="20"/>
  <c r="E101" i="20"/>
  <c r="F101" i="20"/>
  <c r="C74" i="19"/>
  <c r="D74" i="19" s="1"/>
  <c r="D102" i="20"/>
  <c r="N102" i="20" l="1"/>
  <c r="H102" i="20"/>
  <c r="L102" i="20"/>
  <c r="M102" i="20" s="1"/>
  <c r="F102" i="20"/>
  <c r="R102" i="20"/>
  <c r="E102" i="20"/>
  <c r="U102" i="20"/>
  <c r="G102" i="20"/>
  <c r="C75" i="19"/>
  <c r="D75" i="19" s="1"/>
  <c r="D103" i="20"/>
  <c r="N103" i="20" l="1"/>
  <c r="H103" i="20"/>
  <c r="L103" i="20"/>
  <c r="M103" i="20" s="1"/>
  <c r="U103" i="20"/>
  <c r="G103" i="20"/>
  <c r="R103" i="20"/>
  <c r="E103" i="20"/>
  <c r="F103" i="20"/>
  <c r="C76" i="19"/>
  <c r="D76" i="19" s="1"/>
  <c r="D104" i="20"/>
  <c r="N104" i="20" l="1"/>
  <c r="H104" i="20"/>
  <c r="L104" i="20"/>
  <c r="M104" i="20" s="1"/>
  <c r="F104" i="20"/>
  <c r="U104" i="20"/>
  <c r="E104" i="20"/>
  <c r="R104" i="20"/>
  <c r="G104" i="20"/>
  <c r="C77" i="19"/>
  <c r="D77" i="19" s="1"/>
  <c r="D105" i="20"/>
  <c r="N105" i="20" l="1"/>
  <c r="H105" i="20"/>
  <c r="L105" i="20"/>
  <c r="M105" i="20" s="1"/>
  <c r="U105" i="20"/>
  <c r="G105" i="20"/>
  <c r="R105" i="20"/>
  <c r="F105" i="20"/>
  <c r="E105" i="20"/>
  <c r="C78" i="19"/>
  <c r="D78" i="19" s="1"/>
  <c r="D106" i="20"/>
  <c r="N106" i="20" l="1"/>
  <c r="H106" i="20"/>
  <c r="L106" i="20"/>
  <c r="M106" i="20" s="1"/>
  <c r="F106" i="20"/>
  <c r="G106" i="20"/>
  <c r="E106" i="20"/>
  <c r="R106" i="20"/>
  <c r="U106" i="20"/>
  <c r="C79" i="19"/>
  <c r="D79" i="19" s="1"/>
  <c r="D107" i="20"/>
  <c r="H107" i="20" s="1"/>
  <c r="D17" i="22" l="1"/>
  <c r="N107" i="20"/>
  <c r="L107" i="20"/>
  <c r="M107" i="20" s="1"/>
  <c r="R107" i="20"/>
  <c r="G107" i="20"/>
  <c r="E107" i="20"/>
  <c r="U107" i="20"/>
  <c r="F107" i="20"/>
  <c r="C80" i="19"/>
  <c r="D80" i="19" s="1"/>
  <c r="D108" i="20"/>
  <c r="N108" i="20" l="1"/>
  <c r="H108" i="20"/>
  <c r="L108" i="20"/>
  <c r="M108" i="20" s="1"/>
  <c r="F108" i="20"/>
  <c r="R108" i="20"/>
  <c r="E108" i="20"/>
  <c r="G108" i="20"/>
  <c r="U108" i="20"/>
  <c r="C81" i="19"/>
  <c r="D81" i="19" s="1"/>
  <c r="D109" i="20"/>
  <c r="N109" i="20" l="1"/>
  <c r="H109" i="20"/>
  <c r="L109" i="20"/>
  <c r="M109" i="20" s="1"/>
  <c r="E109" i="20"/>
  <c r="G109" i="20"/>
  <c r="U109" i="20"/>
  <c r="F109" i="20"/>
  <c r="R109" i="20"/>
  <c r="C82" i="19"/>
  <c r="D82" i="19" s="1"/>
  <c r="D110" i="20"/>
  <c r="N110" i="20" l="1"/>
  <c r="H110" i="20"/>
  <c r="L110" i="20"/>
  <c r="M110" i="20" s="1"/>
  <c r="F110" i="20"/>
  <c r="E110" i="20"/>
  <c r="U110" i="20"/>
  <c r="G110" i="20"/>
  <c r="R110" i="20"/>
  <c r="C83" i="19"/>
  <c r="D83" i="19" s="1"/>
  <c r="D111" i="20"/>
  <c r="N111" i="20" l="1"/>
  <c r="H111" i="20"/>
  <c r="L111" i="20"/>
  <c r="M111" i="20" s="1"/>
  <c r="U111" i="20"/>
  <c r="G111" i="20"/>
  <c r="E111" i="20"/>
  <c r="R111" i="20"/>
  <c r="F111" i="20"/>
  <c r="C84" i="19"/>
  <c r="D84" i="19" s="1"/>
  <c r="D112" i="20"/>
  <c r="N112" i="20" l="1"/>
  <c r="H112" i="20"/>
  <c r="L112" i="20"/>
  <c r="M112" i="20" s="1"/>
  <c r="F112" i="20"/>
  <c r="U112" i="20"/>
  <c r="E112" i="20"/>
  <c r="R112" i="20"/>
  <c r="G112" i="20"/>
  <c r="C85" i="19"/>
  <c r="D85" i="19" s="1"/>
  <c r="D113" i="20"/>
  <c r="N113" i="20" l="1"/>
  <c r="H113" i="20"/>
  <c r="L113" i="20"/>
  <c r="M113" i="20" s="1"/>
  <c r="R113" i="20"/>
  <c r="E113" i="20"/>
  <c r="G113" i="20"/>
  <c r="U113" i="20"/>
  <c r="F113" i="20"/>
  <c r="C86" i="19"/>
  <c r="D86" i="19" s="1"/>
  <c r="D114" i="20"/>
  <c r="N114" i="20" l="1"/>
  <c r="H114" i="20"/>
  <c r="L114" i="20"/>
  <c r="M114" i="20" s="1"/>
  <c r="F114" i="20"/>
  <c r="U114" i="20"/>
  <c r="G114" i="20"/>
  <c r="E114" i="20"/>
  <c r="R114" i="20"/>
  <c r="C87" i="19"/>
  <c r="D87" i="19" s="1"/>
  <c r="D115" i="20"/>
  <c r="N115" i="20" l="1"/>
  <c r="H115" i="20"/>
  <c r="L115" i="20"/>
  <c r="M115" i="20" s="1"/>
  <c r="R115" i="20"/>
  <c r="G115" i="20"/>
  <c r="E115" i="20"/>
  <c r="F115" i="20"/>
  <c r="U115" i="20"/>
  <c r="C88" i="19"/>
  <c r="D88" i="19" s="1"/>
  <c r="D116" i="20"/>
  <c r="N116" i="20" l="1"/>
  <c r="H116" i="20"/>
  <c r="L116" i="20"/>
  <c r="M116" i="20" s="1"/>
  <c r="F116" i="20"/>
  <c r="R116" i="20"/>
  <c r="E116" i="20"/>
  <c r="G116" i="20"/>
  <c r="U116" i="20"/>
  <c r="C89" i="19"/>
  <c r="D89" i="19" s="1"/>
  <c r="D117" i="20"/>
  <c r="N117" i="20" l="1"/>
  <c r="H117" i="20"/>
  <c r="L117" i="20"/>
  <c r="M117" i="20" s="1"/>
  <c r="G117" i="20"/>
  <c r="U117" i="20"/>
  <c r="R117" i="20"/>
  <c r="F117" i="20"/>
  <c r="E117" i="20"/>
  <c r="C90" i="19"/>
  <c r="D90" i="19" s="1"/>
  <c r="D118" i="20"/>
  <c r="N118" i="20" l="1"/>
  <c r="H118" i="20"/>
  <c r="L118" i="20"/>
  <c r="M118" i="20" s="1"/>
  <c r="F118" i="20"/>
  <c r="E118" i="20"/>
  <c r="U118" i="20"/>
  <c r="R118" i="20"/>
  <c r="G118" i="20"/>
  <c r="C91" i="19"/>
  <c r="D91" i="19" s="1"/>
  <c r="D119" i="20"/>
  <c r="N119" i="20" l="1"/>
  <c r="H119" i="20"/>
  <c r="L119" i="20"/>
  <c r="M119" i="20" s="1"/>
  <c r="U119" i="20"/>
  <c r="R119" i="20"/>
  <c r="G119" i="20"/>
  <c r="E119" i="20"/>
  <c r="F119" i="20"/>
  <c r="C92" i="19"/>
  <c r="D92" i="19" s="1"/>
  <c r="D120" i="20"/>
  <c r="N120" i="20" l="1"/>
  <c r="H120" i="20"/>
  <c r="L120" i="20"/>
  <c r="M120" i="20" s="1"/>
  <c r="F120" i="20"/>
  <c r="U120" i="20"/>
  <c r="E120" i="20"/>
  <c r="G120" i="20"/>
  <c r="R120" i="20"/>
  <c r="C93" i="19"/>
  <c r="D93" i="19" s="1"/>
  <c r="D121" i="20"/>
  <c r="N121" i="20" l="1"/>
  <c r="H121" i="20"/>
  <c r="L121" i="20"/>
  <c r="M121" i="20" s="1"/>
  <c r="U121" i="20"/>
  <c r="G121" i="20"/>
  <c r="R121" i="20"/>
  <c r="E121" i="20"/>
  <c r="F121" i="20"/>
  <c r="C94" i="19"/>
  <c r="D94" i="19" s="1"/>
  <c r="D122" i="20"/>
  <c r="N122" i="20" l="1"/>
  <c r="H122" i="20"/>
  <c r="L122" i="20"/>
  <c r="M122" i="20" s="1"/>
  <c r="F122" i="20"/>
  <c r="E122" i="20"/>
  <c r="R122" i="20"/>
  <c r="U122" i="20"/>
  <c r="G122" i="20"/>
  <c r="C95" i="19"/>
  <c r="D95" i="19" s="1"/>
  <c r="D123" i="20"/>
  <c r="N123" i="20" l="1"/>
  <c r="H123" i="20"/>
  <c r="L123" i="20"/>
  <c r="M123" i="20" s="1"/>
  <c r="R123" i="20"/>
  <c r="U123" i="20"/>
  <c r="G123" i="20"/>
  <c r="E123" i="20"/>
  <c r="F123" i="20"/>
  <c r="C96" i="19"/>
  <c r="D96" i="19" s="1"/>
  <c r="D124" i="20"/>
  <c r="N124" i="20" l="1"/>
  <c r="H124" i="20"/>
  <c r="L124" i="20"/>
  <c r="M124" i="20" s="1"/>
  <c r="F124" i="20"/>
  <c r="R124" i="20"/>
  <c r="G124" i="20"/>
  <c r="E124" i="20"/>
  <c r="U124" i="20"/>
  <c r="C97" i="19"/>
  <c r="D97" i="19" s="1"/>
  <c r="D125" i="20"/>
  <c r="N125" i="20" l="1"/>
  <c r="H125" i="20"/>
  <c r="L125" i="20"/>
  <c r="M125" i="20" s="1"/>
  <c r="U125" i="20"/>
  <c r="G125" i="20"/>
  <c r="E125" i="20"/>
  <c r="R125" i="20"/>
  <c r="F125" i="20"/>
  <c r="C98" i="19"/>
  <c r="D98" i="19" s="1"/>
  <c r="D126" i="20"/>
  <c r="N126" i="20" l="1"/>
  <c r="H126" i="20"/>
  <c r="L126" i="20"/>
  <c r="M126" i="20" s="1"/>
  <c r="F126" i="20"/>
  <c r="R126" i="20"/>
  <c r="E126" i="20"/>
  <c r="U126" i="20"/>
  <c r="G126" i="20"/>
  <c r="C99" i="19"/>
  <c r="D99" i="19" s="1"/>
  <c r="D127" i="20"/>
  <c r="N127" i="20" l="1"/>
  <c r="H127" i="20"/>
  <c r="L127" i="20"/>
  <c r="M127" i="20" s="1"/>
  <c r="U127" i="20"/>
  <c r="G127" i="20"/>
  <c r="E127" i="20"/>
  <c r="F127" i="20"/>
  <c r="R127" i="20"/>
  <c r="C100" i="19"/>
  <c r="D100" i="19" s="1"/>
  <c r="D128" i="20"/>
  <c r="N128" i="20" l="1"/>
  <c r="H128" i="20"/>
  <c r="L128" i="20"/>
  <c r="M128" i="20" s="1"/>
  <c r="F128" i="20"/>
  <c r="U128" i="20"/>
  <c r="E128" i="20"/>
  <c r="R128" i="20"/>
  <c r="G128" i="20"/>
  <c r="C101" i="19"/>
  <c r="D101" i="19" s="1"/>
  <c r="D129" i="20"/>
  <c r="N129" i="20" l="1"/>
  <c r="H129" i="20"/>
  <c r="D18" i="22"/>
  <c r="T36" i="20" s="1"/>
  <c r="L129" i="20"/>
  <c r="M129" i="20" s="1"/>
  <c r="R129" i="20"/>
  <c r="G129" i="20"/>
  <c r="E129" i="20"/>
  <c r="E29" i="20" s="1"/>
  <c r="F129" i="20"/>
  <c r="U129" i="20"/>
  <c r="C102" i="19"/>
  <c r="D102" i="19" s="1"/>
  <c r="J22" i="14" l="1"/>
  <c r="P22" i="14" s="1"/>
  <c r="J86" i="16"/>
  <c r="P86" i="16" s="1"/>
  <c r="Q36" i="20"/>
  <c r="B33" i="20"/>
  <c r="J156" i="14"/>
  <c r="J148" i="14"/>
  <c r="J140" i="14"/>
  <c r="J132" i="14"/>
  <c r="J124" i="14"/>
  <c r="J218" i="16"/>
  <c r="J210" i="16"/>
  <c r="J202" i="16"/>
  <c r="J194" i="16"/>
  <c r="J186" i="16"/>
  <c r="J163" i="17"/>
  <c r="J155" i="17"/>
  <c r="J217" i="14"/>
  <c r="J215" i="14"/>
  <c r="J213" i="14"/>
  <c r="J211" i="14"/>
  <c r="J209" i="14"/>
  <c r="J207" i="14"/>
  <c r="J205" i="14"/>
  <c r="J203" i="14"/>
  <c r="J201" i="14"/>
  <c r="J199" i="14"/>
  <c r="J197" i="14"/>
  <c r="J195" i="14"/>
  <c r="J193" i="14"/>
  <c r="J191" i="14"/>
  <c r="J189" i="14"/>
  <c r="J187" i="14"/>
  <c r="J185" i="14"/>
  <c r="J183" i="14"/>
  <c r="J181" i="14"/>
  <c r="J179" i="14"/>
  <c r="J177" i="14"/>
  <c r="J175" i="14"/>
  <c r="J173" i="14"/>
  <c r="J171" i="14"/>
  <c r="J169" i="14"/>
  <c r="J167" i="14"/>
  <c r="J165" i="14"/>
  <c r="J163" i="14"/>
  <c r="J161" i="14"/>
  <c r="J153" i="14"/>
  <c r="J145" i="14"/>
  <c r="J137" i="14"/>
  <c r="J129" i="14"/>
  <c r="J121" i="14"/>
  <c r="J215" i="16"/>
  <c r="J207" i="16"/>
  <c r="J199" i="16"/>
  <c r="J191" i="16"/>
  <c r="J183" i="16"/>
  <c r="J178" i="16"/>
  <c r="J176" i="16"/>
  <c r="J174" i="16"/>
  <c r="J172" i="16"/>
  <c r="J170" i="16"/>
  <c r="J168" i="16"/>
  <c r="J166" i="16"/>
  <c r="J164" i="16"/>
  <c r="J162" i="16"/>
  <c r="J160" i="16"/>
  <c r="J158" i="16"/>
  <c r="J156" i="16"/>
  <c r="J154" i="16"/>
  <c r="J152" i="16"/>
  <c r="J150" i="16"/>
  <c r="J148" i="16"/>
  <c r="J146" i="16"/>
  <c r="J144" i="16"/>
  <c r="J142" i="16"/>
  <c r="J140" i="16"/>
  <c r="J138" i="16"/>
  <c r="J136" i="16"/>
  <c r="J134" i="16"/>
  <c r="J132" i="16"/>
  <c r="J130" i="16"/>
  <c r="J128" i="16"/>
  <c r="J126" i="16"/>
  <c r="J124" i="16"/>
  <c r="J216" i="17"/>
  <c r="J214" i="17"/>
  <c r="J212" i="17"/>
  <c r="J210" i="17"/>
  <c r="J208" i="17"/>
  <c r="J206" i="17"/>
  <c r="J204" i="17"/>
  <c r="J202" i="17"/>
  <c r="J200" i="17"/>
  <c r="J198" i="17"/>
  <c r="J196" i="17"/>
  <c r="J194" i="17"/>
  <c r="J192" i="17"/>
  <c r="J190" i="17"/>
  <c r="J188" i="17"/>
  <c r="J186" i="17"/>
  <c r="J184" i="17"/>
  <c r="J158" i="14"/>
  <c r="J150" i="14"/>
  <c r="J142" i="14"/>
  <c r="J134" i="14"/>
  <c r="J126" i="14"/>
  <c r="J220" i="16"/>
  <c r="J212" i="16"/>
  <c r="J204" i="16"/>
  <c r="J196" i="16"/>
  <c r="J216" i="14"/>
  <c r="J214" i="14"/>
  <c r="J212" i="14"/>
  <c r="J210" i="14"/>
  <c r="J208" i="14"/>
  <c r="J206" i="14"/>
  <c r="J204" i="14"/>
  <c r="J202" i="14"/>
  <c r="J200" i="14"/>
  <c r="J198" i="14"/>
  <c r="J196" i="14"/>
  <c r="J194" i="14"/>
  <c r="J192" i="14"/>
  <c r="J190" i="14"/>
  <c r="J188" i="14"/>
  <c r="J186" i="14"/>
  <c r="J184" i="14"/>
  <c r="J182" i="14"/>
  <c r="J180" i="14"/>
  <c r="J178" i="14"/>
  <c r="J176" i="14"/>
  <c r="J174" i="14"/>
  <c r="J172" i="14"/>
  <c r="J170" i="14"/>
  <c r="J168" i="14"/>
  <c r="J166" i="14"/>
  <c r="J164" i="14"/>
  <c r="J162" i="14"/>
  <c r="J157" i="14"/>
  <c r="J149" i="14"/>
  <c r="J141" i="14"/>
  <c r="J133" i="14"/>
  <c r="J125" i="14"/>
  <c r="J219" i="16"/>
  <c r="J211" i="16"/>
  <c r="J203" i="16"/>
  <c r="J195" i="16"/>
  <c r="J187" i="16"/>
  <c r="J179" i="16"/>
  <c r="J177" i="16"/>
  <c r="J175" i="16"/>
  <c r="J173" i="16"/>
  <c r="J171" i="16"/>
  <c r="J169" i="16"/>
  <c r="J167" i="16"/>
  <c r="J165" i="16"/>
  <c r="J163" i="16"/>
  <c r="J161" i="16"/>
  <c r="J159" i="16"/>
  <c r="J157" i="16"/>
  <c r="J155" i="16"/>
  <c r="J153" i="16"/>
  <c r="J151" i="16"/>
  <c r="J149" i="16"/>
  <c r="J147" i="16"/>
  <c r="J145" i="16"/>
  <c r="J143" i="16"/>
  <c r="J141" i="16"/>
  <c r="J139" i="16"/>
  <c r="J137" i="16"/>
  <c r="J135" i="16"/>
  <c r="J133" i="16"/>
  <c r="J131" i="16"/>
  <c r="J129" i="16"/>
  <c r="J127" i="16"/>
  <c r="J125" i="16"/>
  <c r="J217" i="17"/>
  <c r="J215" i="17"/>
  <c r="J213" i="17"/>
  <c r="J211" i="17"/>
  <c r="J209" i="17"/>
  <c r="J207" i="17"/>
  <c r="J205" i="17"/>
  <c r="J203" i="17"/>
  <c r="J201" i="17"/>
  <c r="J199" i="17"/>
  <c r="J197" i="17"/>
  <c r="J195" i="17"/>
  <c r="J193" i="17"/>
  <c r="J191" i="17"/>
  <c r="J189" i="17"/>
  <c r="J187" i="17"/>
  <c r="J185" i="17"/>
  <c r="J183" i="17"/>
  <c r="J181" i="17"/>
  <c r="J167" i="17"/>
  <c r="J156" i="17"/>
  <c r="J153" i="17"/>
  <c r="J145" i="17"/>
  <c r="J137" i="17"/>
  <c r="J129" i="17"/>
  <c r="J121" i="17"/>
  <c r="J217" i="16"/>
  <c r="J166" i="17"/>
  <c r="J144" i="17"/>
  <c r="J120" i="17"/>
  <c r="J182" i="16"/>
  <c r="J133" i="17"/>
  <c r="J148" i="17"/>
  <c r="J179" i="17"/>
  <c r="J177" i="17"/>
  <c r="J175" i="17"/>
  <c r="J173" i="17"/>
  <c r="J171" i="17"/>
  <c r="J169" i="17"/>
  <c r="J164" i="17"/>
  <c r="J161" i="17"/>
  <c r="J150" i="17"/>
  <c r="J142" i="17"/>
  <c r="J134" i="17"/>
  <c r="J126" i="17"/>
  <c r="J131" i="17"/>
  <c r="J147" i="14"/>
  <c r="J144" i="14"/>
  <c r="J131" i="14"/>
  <c r="J128" i="14"/>
  <c r="J214" i="16"/>
  <c r="J128" i="17"/>
  <c r="J185" i="16"/>
  <c r="J160" i="17"/>
  <c r="J149" i="17"/>
  <c r="J125" i="17"/>
  <c r="J124" i="17"/>
  <c r="J154" i="14"/>
  <c r="J151" i="14"/>
  <c r="J138" i="14"/>
  <c r="J135" i="14"/>
  <c r="J122" i="14"/>
  <c r="J221" i="16"/>
  <c r="J208" i="16"/>
  <c r="J205" i="16"/>
  <c r="J192" i="16"/>
  <c r="J189" i="16"/>
  <c r="J180" i="16"/>
  <c r="J158" i="17"/>
  <c r="J147" i="17"/>
  <c r="J139" i="17"/>
  <c r="J123" i="17"/>
  <c r="J160" i="14"/>
  <c r="J201" i="16"/>
  <c r="J198" i="16"/>
  <c r="J152" i="17"/>
  <c r="J136" i="17"/>
  <c r="J141" i="17"/>
  <c r="J132" i="17"/>
  <c r="J188" i="16"/>
  <c r="J180" i="17"/>
  <c r="J178" i="17"/>
  <c r="J176" i="17"/>
  <c r="J174" i="17"/>
  <c r="J172" i="17"/>
  <c r="J170" i="17"/>
  <c r="J168" i="17"/>
  <c r="J157" i="17"/>
  <c r="J154" i="17"/>
  <c r="J146" i="17"/>
  <c r="J138" i="17"/>
  <c r="J130" i="17"/>
  <c r="J122" i="17"/>
  <c r="J159" i="14"/>
  <c r="J146" i="14"/>
  <c r="J143" i="14"/>
  <c r="J130" i="14"/>
  <c r="J127" i="14"/>
  <c r="J216" i="16"/>
  <c r="J213" i="16"/>
  <c r="J200" i="16"/>
  <c r="J197" i="16"/>
  <c r="J182" i="17"/>
  <c r="J165" i="17"/>
  <c r="J162" i="17"/>
  <c r="J151" i="17"/>
  <c r="J143" i="17"/>
  <c r="J135" i="17"/>
  <c r="J127" i="17"/>
  <c r="J155" i="14"/>
  <c r="J152" i="14"/>
  <c r="J139" i="14"/>
  <c r="J136" i="14"/>
  <c r="J123" i="14"/>
  <c r="J120" i="14"/>
  <c r="J209" i="16"/>
  <c r="J206" i="16"/>
  <c r="J193" i="16"/>
  <c r="J190" i="16"/>
  <c r="J184" i="16"/>
  <c r="J181" i="16"/>
  <c r="J159" i="17"/>
  <c r="J140" i="17"/>
  <c r="J218" i="17"/>
  <c r="J119" i="17"/>
  <c r="J117" i="17"/>
  <c r="J115" i="17"/>
  <c r="J113" i="17"/>
  <c r="J111" i="17"/>
  <c r="J109" i="17"/>
  <c r="J107" i="17"/>
  <c r="J105" i="17"/>
  <c r="J103" i="17"/>
  <c r="J101" i="17"/>
  <c r="J99" i="17"/>
  <c r="J97" i="17"/>
  <c r="J95" i="17"/>
  <c r="J93" i="17"/>
  <c r="J91" i="17"/>
  <c r="J89" i="17"/>
  <c r="J87" i="17"/>
  <c r="J85" i="17"/>
  <c r="J83" i="17"/>
  <c r="J81" i="17"/>
  <c r="J79" i="17"/>
  <c r="J77" i="17"/>
  <c r="J75" i="17"/>
  <c r="J73" i="17"/>
  <c r="J71" i="17"/>
  <c r="J69" i="17"/>
  <c r="J67" i="17"/>
  <c r="J65" i="17"/>
  <c r="J63" i="17"/>
  <c r="J61" i="17"/>
  <c r="J59" i="17"/>
  <c r="J57" i="17"/>
  <c r="J55" i="17"/>
  <c r="J53" i="17"/>
  <c r="J51" i="17"/>
  <c r="J49" i="17"/>
  <c r="J47" i="17"/>
  <c r="J45" i="17"/>
  <c r="J43" i="17"/>
  <c r="J41" i="17"/>
  <c r="J39" i="17"/>
  <c r="J37" i="17"/>
  <c r="J35" i="17"/>
  <c r="P35" i="17" s="1"/>
  <c r="N72" i="20" s="1"/>
  <c r="J33" i="17"/>
  <c r="P33" i="17" s="1"/>
  <c r="J31" i="17"/>
  <c r="P31" i="17" s="1"/>
  <c r="J29" i="17"/>
  <c r="P29" i="17" s="1"/>
  <c r="J27" i="17"/>
  <c r="P27" i="17" s="1"/>
  <c r="J25" i="17"/>
  <c r="P25" i="17" s="1"/>
  <c r="J23" i="17"/>
  <c r="P23" i="17" s="1"/>
  <c r="N69" i="20" s="1"/>
  <c r="J22" i="17"/>
  <c r="P22" i="17" s="1"/>
  <c r="J122" i="16"/>
  <c r="J120" i="16"/>
  <c r="J118" i="16"/>
  <c r="J116" i="16"/>
  <c r="J114" i="16"/>
  <c r="J112" i="16"/>
  <c r="J110" i="16"/>
  <c r="J108" i="16"/>
  <c r="J106" i="16"/>
  <c r="J118" i="17"/>
  <c r="J114" i="17"/>
  <c r="J110" i="17"/>
  <c r="J106" i="17"/>
  <c r="J102" i="17"/>
  <c r="J98" i="17"/>
  <c r="J94" i="17"/>
  <c r="J90" i="17"/>
  <c r="J86" i="17"/>
  <c r="J82" i="17"/>
  <c r="J78" i="17"/>
  <c r="J74" i="17"/>
  <c r="J70" i="17"/>
  <c r="J66" i="17"/>
  <c r="J62" i="17"/>
  <c r="J58" i="17"/>
  <c r="J54" i="17"/>
  <c r="J50" i="17"/>
  <c r="J46" i="17"/>
  <c r="J42" i="17"/>
  <c r="J38" i="17"/>
  <c r="J34" i="17"/>
  <c r="P34" i="17" s="1"/>
  <c r="J30" i="17"/>
  <c r="P30" i="17" s="1"/>
  <c r="J26" i="17"/>
  <c r="P26" i="17" s="1"/>
  <c r="J123" i="16"/>
  <c r="J119" i="16"/>
  <c r="J115" i="16"/>
  <c r="J111" i="16"/>
  <c r="J107" i="16"/>
  <c r="J104" i="16"/>
  <c r="J102" i="16"/>
  <c r="J100" i="16"/>
  <c r="J98" i="16"/>
  <c r="J96" i="16"/>
  <c r="J94" i="16"/>
  <c r="P94" i="16" s="1"/>
  <c r="J92" i="16"/>
  <c r="P92" i="16" s="1"/>
  <c r="J82" i="16"/>
  <c r="P82" i="16" s="1"/>
  <c r="J80" i="16"/>
  <c r="P80" i="16" s="1"/>
  <c r="J75" i="16"/>
  <c r="P75" i="16" s="1"/>
  <c r="J73" i="16"/>
  <c r="P73" i="16" s="1"/>
  <c r="J71" i="16"/>
  <c r="P71" i="16" s="1"/>
  <c r="J69" i="16"/>
  <c r="P69" i="16" s="1"/>
  <c r="J67" i="16"/>
  <c r="P67" i="16" s="1"/>
  <c r="J65" i="16"/>
  <c r="P65" i="16" s="1"/>
  <c r="J63" i="16"/>
  <c r="P63" i="16" s="1"/>
  <c r="J61" i="16"/>
  <c r="P61" i="16" s="1"/>
  <c r="J59" i="16"/>
  <c r="P59" i="16" s="1"/>
  <c r="L65" i="20"/>
  <c r="M65" i="20" s="1"/>
  <c r="J50" i="16"/>
  <c r="P50" i="16" s="1"/>
  <c r="J48" i="16"/>
  <c r="P48" i="16" s="1"/>
  <c r="L60" i="20" s="1"/>
  <c r="J46" i="16"/>
  <c r="P46" i="16" s="1"/>
  <c r="J44" i="16"/>
  <c r="P44" i="16" s="1"/>
  <c r="J42" i="16"/>
  <c r="P42" i="16" s="1"/>
  <c r="J40" i="16"/>
  <c r="P40" i="16" s="1"/>
  <c r="J38" i="16"/>
  <c r="P38" i="16" s="1"/>
  <c r="J36" i="16"/>
  <c r="P36" i="16" s="1"/>
  <c r="J34" i="16"/>
  <c r="P34" i="16" s="1"/>
  <c r="J32" i="16"/>
  <c r="P32" i="16" s="1"/>
  <c r="J30" i="16"/>
  <c r="P30" i="16" s="1"/>
  <c r="J28" i="16"/>
  <c r="P28" i="16" s="1"/>
  <c r="J26" i="16"/>
  <c r="J24" i="16"/>
  <c r="P24" i="16" s="1"/>
  <c r="J22" i="16"/>
  <c r="J116" i="17"/>
  <c r="J108" i="17"/>
  <c r="J100" i="17"/>
  <c r="J92" i="17"/>
  <c r="J84" i="17"/>
  <c r="J76" i="17"/>
  <c r="J68" i="17"/>
  <c r="J60" i="17"/>
  <c r="J52" i="17"/>
  <c r="J44" i="17"/>
  <c r="J36" i="17"/>
  <c r="J28" i="17"/>
  <c r="P28" i="17" s="1"/>
  <c r="J222" i="16"/>
  <c r="J117" i="16"/>
  <c r="J109" i="16"/>
  <c r="J103" i="16"/>
  <c r="J99" i="16"/>
  <c r="J95" i="16"/>
  <c r="J91" i="16"/>
  <c r="P91" i="16" s="1"/>
  <c r="J81" i="16"/>
  <c r="P81" i="16" s="1"/>
  <c r="J72" i="16"/>
  <c r="P72" i="16" s="1"/>
  <c r="J68" i="16"/>
  <c r="P68" i="16" s="1"/>
  <c r="J64" i="16"/>
  <c r="P64" i="16" s="1"/>
  <c r="J60" i="16"/>
  <c r="P60" i="16" s="1"/>
  <c r="J49" i="16"/>
  <c r="P49" i="16" s="1"/>
  <c r="J45" i="16"/>
  <c r="P45" i="16" s="1"/>
  <c r="J41" i="16"/>
  <c r="P41" i="16" s="1"/>
  <c r="J37" i="16"/>
  <c r="P37" i="16" s="1"/>
  <c r="J33" i="16"/>
  <c r="P33" i="16" s="1"/>
  <c r="L45" i="20" s="1"/>
  <c r="J29" i="16"/>
  <c r="P29" i="16" s="1"/>
  <c r="L41" i="20" s="1"/>
  <c r="J25" i="16"/>
  <c r="J23" i="16"/>
  <c r="P23" i="16" s="1"/>
  <c r="J118" i="14"/>
  <c r="J116" i="14"/>
  <c r="J114" i="14"/>
  <c r="J112" i="14"/>
  <c r="J110" i="14"/>
  <c r="J108" i="14"/>
  <c r="J106" i="14"/>
  <c r="P106" i="14" s="1"/>
  <c r="J104" i="14"/>
  <c r="J102" i="14"/>
  <c r="P102" i="14" s="1"/>
  <c r="J100" i="14"/>
  <c r="P100" i="14" s="1"/>
  <c r="J98" i="14"/>
  <c r="P98" i="14" s="1"/>
  <c r="J96" i="14"/>
  <c r="P96" i="14" s="1"/>
  <c r="J94" i="14"/>
  <c r="P94" i="14" s="1"/>
  <c r="J92" i="14"/>
  <c r="P92" i="14" s="1"/>
  <c r="J90" i="14"/>
  <c r="P90" i="14" s="1"/>
  <c r="J88" i="14"/>
  <c r="P88" i="14" s="1"/>
  <c r="J82" i="14"/>
  <c r="P82" i="14" s="1"/>
  <c r="J80" i="14"/>
  <c r="J78" i="14"/>
  <c r="P78" i="14" s="1"/>
  <c r="J76" i="14"/>
  <c r="P76" i="14" s="1"/>
  <c r="J74" i="14"/>
  <c r="J72" i="14"/>
  <c r="P72" i="14" s="1"/>
  <c r="J70" i="14"/>
  <c r="P70" i="14" s="1"/>
  <c r="J68" i="14"/>
  <c r="P68" i="14" s="1"/>
  <c r="J66" i="14"/>
  <c r="P66" i="14" s="1"/>
  <c r="J64" i="14"/>
  <c r="P64" i="14" s="1"/>
  <c r="J62" i="14"/>
  <c r="P62" i="14" s="1"/>
  <c r="J60" i="14"/>
  <c r="P60" i="14" s="1"/>
  <c r="J58" i="14"/>
  <c r="P58" i="14" s="1"/>
  <c r="J56" i="14"/>
  <c r="P56" i="14" s="1"/>
  <c r="J54" i="14"/>
  <c r="J52" i="14"/>
  <c r="P52" i="14" s="1"/>
  <c r="J50" i="14"/>
  <c r="P50" i="14" s="1"/>
  <c r="J48" i="14"/>
  <c r="P48" i="14" s="1"/>
  <c r="J46" i="14"/>
  <c r="P46" i="14" s="1"/>
  <c r="J44" i="14"/>
  <c r="P44" i="14" s="1"/>
  <c r="J42" i="14"/>
  <c r="P42" i="14" s="1"/>
  <c r="J40" i="14"/>
  <c r="P40" i="14" s="1"/>
  <c r="J38" i="14"/>
  <c r="P38" i="14" s="1"/>
  <c r="J36" i="14"/>
  <c r="P36" i="14" s="1"/>
  <c r="J34" i="14"/>
  <c r="P34" i="14" s="1"/>
  <c r="J32" i="14"/>
  <c r="J30" i="14"/>
  <c r="P30" i="14" s="1"/>
  <c r="J28" i="14"/>
  <c r="P28" i="14" s="1"/>
  <c r="J26" i="14"/>
  <c r="P26" i="14" s="1"/>
  <c r="J24" i="14"/>
  <c r="P24" i="14" s="1"/>
  <c r="J112" i="17"/>
  <c r="J104" i="17"/>
  <c r="J96" i="17"/>
  <c r="J88" i="17"/>
  <c r="J80" i="17"/>
  <c r="J72" i="17"/>
  <c r="J64" i="17"/>
  <c r="J56" i="17"/>
  <c r="J48" i="17"/>
  <c r="J40" i="17"/>
  <c r="J32" i="17"/>
  <c r="P32" i="17" s="1"/>
  <c r="J24" i="17"/>
  <c r="P24" i="17" s="1"/>
  <c r="J121" i="16"/>
  <c r="J113" i="16"/>
  <c r="J105" i="16"/>
  <c r="J101" i="16"/>
  <c r="J97" i="16"/>
  <c r="P97" i="16" s="1"/>
  <c r="L64" i="20" s="1"/>
  <c r="M64" i="20" s="1"/>
  <c r="J93" i="16"/>
  <c r="P93" i="16" s="1"/>
  <c r="J83" i="16"/>
  <c r="P83" i="16" s="1"/>
  <c r="J74" i="16"/>
  <c r="P74" i="16" s="1"/>
  <c r="J70" i="16"/>
  <c r="P70" i="16" s="1"/>
  <c r="J66" i="16"/>
  <c r="P66" i="16" s="1"/>
  <c r="J62" i="16"/>
  <c r="P62" i="16" s="1"/>
  <c r="J58" i="16"/>
  <c r="P58" i="16" s="1"/>
  <c r="J51" i="16"/>
  <c r="P51" i="16" s="1"/>
  <c r="L63" i="20" s="1"/>
  <c r="M63" i="20" s="1"/>
  <c r="J47" i="16"/>
  <c r="P47" i="16" s="1"/>
  <c r="J43" i="16"/>
  <c r="P43" i="16" s="1"/>
  <c r="L55" i="20" s="1"/>
  <c r="J39" i="16"/>
  <c r="P39" i="16" s="1"/>
  <c r="J35" i="16"/>
  <c r="P35" i="16" s="1"/>
  <c r="J31" i="16"/>
  <c r="P31" i="16" s="1"/>
  <c r="J27" i="16"/>
  <c r="P27" i="16" s="1"/>
  <c r="J218" i="14"/>
  <c r="J119" i="14"/>
  <c r="J117" i="14"/>
  <c r="J115" i="14"/>
  <c r="J113" i="14"/>
  <c r="J111" i="14"/>
  <c r="J109" i="14"/>
  <c r="J107" i="14"/>
  <c r="J105" i="14"/>
  <c r="J103" i="14"/>
  <c r="P103" i="14" s="1"/>
  <c r="J101" i="14"/>
  <c r="P101" i="14" s="1"/>
  <c r="J99" i="14"/>
  <c r="P99" i="14" s="1"/>
  <c r="J97" i="14"/>
  <c r="P97" i="14" s="1"/>
  <c r="J95" i="14"/>
  <c r="P95" i="14" s="1"/>
  <c r="J93" i="14"/>
  <c r="P93" i="14" s="1"/>
  <c r="J91" i="14"/>
  <c r="P91" i="14" s="1"/>
  <c r="J89" i="14"/>
  <c r="P89" i="14" s="1"/>
  <c r="J87" i="14"/>
  <c r="J81" i="14"/>
  <c r="P81" i="14" s="1"/>
  <c r="J79" i="14"/>
  <c r="J77" i="14"/>
  <c r="P77" i="14" s="1"/>
  <c r="J75" i="14"/>
  <c r="J73" i="14"/>
  <c r="P73" i="14" s="1"/>
  <c r="J71" i="14"/>
  <c r="P71" i="14" s="1"/>
  <c r="J69" i="14"/>
  <c r="P69" i="14" s="1"/>
  <c r="J67" i="14"/>
  <c r="P67" i="14" s="1"/>
  <c r="J65" i="14"/>
  <c r="P65" i="14" s="1"/>
  <c r="J63" i="14"/>
  <c r="P63" i="14" s="1"/>
  <c r="J61" i="14"/>
  <c r="P61" i="14" s="1"/>
  <c r="J59" i="14"/>
  <c r="P59" i="14" s="1"/>
  <c r="J57" i="14"/>
  <c r="P57" i="14" s="1"/>
  <c r="J55" i="14"/>
  <c r="P55" i="14" s="1"/>
  <c r="J51" i="14"/>
  <c r="P51" i="14" s="1"/>
  <c r="J47" i="14"/>
  <c r="P47" i="14" s="1"/>
  <c r="J43" i="14"/>
  <c r="P43" i="14" s="1"/>
  <c r="J39" i="14"/>
  <c r="P39" i="14" s="1"/>
  <c r="J35" i="14"/>
  <c r="P35" i="14" s="1"/>
  <c r="J31" i="14"/>
  <c r="J27" i="14"/>
  <c r="P27" i="14" s="1"/>
  <c r="J23" i="14"/>
  <c r="P23" i="14" s="1"/>
  <c r="J53" i="14"/>
  <c r="J49" i="14"/>
  <c r="P49" i="14" s="1"/>
  <c r="J45" i="14"/>
  <c r="P45" i="14" s="1"/>
  <c r="J41" i="14"/>
  <c r="P41" i="14" s="1"/>
  <c r="J37" i="14"/>
  <c r="P37" i="14" s="1"/>
  <c r="J33" i="14"/>
  <c r="P33" i="14" s="1"/>
  <c r="J29" i="14"/>
  <c r="P29" i="14" s="1"/>
  <c r="J25" i="14"/>
  <c r="P25" i="14" s="1"/>
  <c r="R39" i="20"/>
  <c r="U39" i="20"/>
  <c r="N74" i="20" l="1"/>
  <c r="N73" i="20"/>
  <c r="N62" i="20"/>
  <c r="N70" i="20"/>
  <c r="L54" i="20"/>
  <c r="L62" i="20"/>
  <c r="M62" i="20" s="1"/>
  <c r="L47" i="20"/>
  <c r="L46" i="20"/>
  <c r="L50" i="20"/>
  <c r="L48" i="20"/>
  <c r="L57" i="20"/>
  <c r="L44" i="20"/>
  <c r="L51" i="20"/>
  <c r="L43" i="20"/>
  <c r="L58" i="20"/>
  <c r="L59" i="20"/>
  <c r="L56" i="20"/>
  <c r="L52" i="20"/>
  <c r="L61" i="20"/>
  <c r="L53" i="20"/>
  <c r="P219" i="14"/>
  <c r="J39" i="20" s="1"/>
  <c r="L40" i="20"/>
  <c r="L39" i="20"/>
  <c r="L49" i="20"/>
  <c r="L42" i="20"/>
  <c r="U40" i="20"/>
  <c r="R40" i="20"/>
  <c r="R41" i="20" l="1"/>
  <c r="U41" i="20"/>
  <c r="R42" i="20" l="1"/>
  <c r="U42" i="20"/>
  <c r="R43" i="20" l="1"/>
  <c r="U43" i="20"/>
  <c r="U44" i="20" l="1"/>
  <c r="R44" i="20"/>
  <c r="R45" i="20" l="1"/>
  <c r="U45" i="20"/>
  <c r="R46" i="20" l="1"/>
  <c r="U46" i="20"/>
  <c r="R47" i="20" l="1"/>
  <c r="U47" i="20"/>
  <c r="U48" i="20" l="1"/>
  <c r="R48" i="20"/>
  <c r="R49" i="20" l="1"/>
  <c r="U49" i="20"/>
  <c r="R50" i="20" l="1"/>
  <c r="U50" i="20"/>
  <c r="R51" i="20" l="1"/>
  <c r="U51" i="20"/>
  <c r="U52" i="20" l="1"/>
  <c r="R52" i="20"/>
  <c r="R53" i="20" l="1"/>
  <c r="U53" i="20"/>
  <c r="U54" i="20" l="1"/>
  <c r="R54" i="20"/>
  <c r="R55" i="20" l="1"/>
  <c r="U55" i="20"/>
  <c r="U56" i="20" l="1"/>
  <c r="R56" i="20"/>
  <c r="R57" i="20" l="1"/>
  <c r="U57" i="20"/>
  <c r="R58" i="20" l="1"/>
  <c r="U58" i="20"/>
  <c r="R59" i="20" l="1"/>
  <c r="U59" i="20"/>
  <c r="U60" i="20"/>
  <c r="U61" i="20"/>
  <c r="R60" i="20"/>
  <c r="R61" i="20"/>
  <c r="O61" i="20" l="1"/>
  <c r="O60" i="20" l="1"/>
  <c r="H62" i="20" l="1"/>
  <c r="R62" i="20"/>
  <c r="U62" i="20"/>
  <c r="H63" i="20" l="1"/>
  <c r="R63" i="20"/>
  <c r="U63" i="20"/>
  <c r="H64" i="20" l="1"/>
  <c r="U64" i="20"/>
  <c r="R64" i="20"/>
  <c r="H65" i="20" l="1"/>
  <c r="U65" i="20"/>
  <c r="R65" i="20"/>
  <c r="H66" i="20" l="1"/>
  <c r="U66" i="20"/>
  <c r="R66" i="20"/>
  <c r="H67" i="20" l="1"/>
  <c r="G67" i="20"/>
  <c r="U67" i="20"/>
  <c r="R67" i="20"/>
  <c r="C68" i="20"/>
  <c r="C67" i="20" s="1"/>
  <c r="C66" i="20" s="1"/>
  <c r="O67" i="20" l="1"/>
  <c r="C65" i="20"/>
  <c r="O66" i="20"/>
  <c r="G66" i="20"/>
  <c r="F66" i="20"/>
  <c r="F67" i="20"/>
  <c r="H68" i="20"/>
  <c r="U68" i="20"/>
  <c r="R68" i="20"/>
  <c r="G68" i="20"/>
  <c r="F68" i="20"/>
  <c r="C69" i="20"/>
  <c r="O68" i="20"/>
  <c r="C64" i="20" l="1"/>
  <c r="O65" i="20"/>
  <c r="G65" i="20"/>
  <c r="F65" i="20"/>
  <c r="H69" i="20"/>
  <c r="G69" i="20"/>
  <c r="F69" i="20"/>
  <c r="U69" i="20"/>
  <c r="R69" i="20"/>
  <c r="O69" i="20"/>
  <c r="C70" i="20"/>
  <c r="C63" i="20" l="1"/>
  <c r="O64" i="20"/>
  <c r="G64" i="20"/>
  <c r="F64" i="20"/>
  <c r="H70" i="20"/>
  <c r="F70" i="20"/>
  <c r="R70" i="20"/>
  <c r="G70" i="20"/>
  <c r="U70" i="20"/>
  <c r="C71" i="20"/>
  <c r="O70" i="20"/>
  <c r="C62" i="20" l="1"/>
  <c r="F63" i="20"/>
  <c r="O63" i="20"/>
  <c r="G63" i="20"/>
  <c r="H71" i="20"/>
  <c r="F71" i="20"/>
  <c r="U71" i="20"/>
  <c r="G71" i="20"/>
  <c r="R71" i="20"/>
  <c r="O71" i="20"/>
  <c r="C72" i="20"/>
  <c r="F62" i="20" l="1"/>
  <c r="C61" i="20"/>
  <c r="G62" i="20"/>
  <c r="O62" i="20"/>
  <c r="H72" i="20"/>
  <c r="F72" i="20"/>
  <c r="G72" i="20"/>
  <c r="R72" i="20"/>
  <c r="U72" i="20"/>
  <c r="C73" i="20"/>
  <c r="O72" i="20"/>
  <c r="F61" i="20" l="1"/>
  <c r="M61" i="20"/>
  <c r="G61" i="20"/>
  <c r="C60" i="20"/>
  <c r="H73" i="20"/>
  <c r="G73" i="20"/>
  <c r="F73" i="20"/>
  <c r="U73" i="20"/>
  <c r="R73" i="20"/>
  <c r="C74" i="20"/>
  <c r="O73" i="20"/>
  <c r="M60" i="20" l="1"/>
  <c r="F60" i="20"/>
  <c r="C59" i="20"/>
  <c r="G60" i="20"/>
  <c r="H74" i="20"/>
  <c r="F74" i="20"/>
  <c r="U74" i="20"/>
  <c r="R74" i="20"/>
  <c r="G74" i="20"/>
  <c r="O74" i="20"/>
  <c r="C75" i="20"/>
  <c r="G59" i="20" l="1"/>
  <c r="F59" i="20"/>
  <c r="C58" i="20"/>
  <c r="M59" i="20"/>
  <c r="H75" i="20"/>
  <c r="R75" i="20"/>
  <c r="F75" i="20"/>
  <c r="G75" i="20"/>
  <c r="U75" i="20"/>
  <c r="O75" i="20"/>
  <c r="C76" i="20"/>
  <c r="M58" i="20" l="1"/>
  <c r="C57" i="20"/>
  <c r="F58" i="20"/>
  <c r="G58" i="20"/>
  <c r="H76" i="20"/>
  <c r="G76" i="20"/>
  <c r="F76" i="20"/>
  <c r="R76" i="20"/>
  <c r="U76" i="20"/>
  <c r="C77" i="20"/>
  <c r="O76" i="20"/>
  <c r="G57" i="20" l="1"/>
  <c r="F57" i="20"/>
  <c r="M57" i="20"/>
  <c r="C56" i="20"/>
  <c r="H77" i="20"/>
  <c r="G77" i="20"/>
  <c r="F77" i="20"/>
  <c r="U77" i="20"/>
  <c r="R77" i="20"/>
  <c r="C78" i="20"/>
  <c r="O77" i="20"/>
  <c r="C55" i="20" l="1"/>
  <c r="M56" i="20"/>
  <c r="F56" i="20"/>
  <c r="G56" i="20"/>
  <c r="H78" i="20"/>
  <c r="U78" i="20"/>
  <c r="G78" i="20"/>
  <c r="R78" i="20"/>
  <c r="F78" i="20"/>
  <c r="C79" i="20"/>
  <c r="O78" i="20"/>
  <c r="C54" i="20" l="1"/>
  <c r="F55" i="20"/>
  <c r="G55" i="20"/>
  <c r="M55" i="20"/>
  <c r="H79" i="20"/>
  <c r="F79" i="20"/>
  <c r="G79" i="20"/>
  <c r="R79" i="20"/>
  <c r="U79" i="20"/>
  <c r="O79" i="20"/>
  <c r="C80" i="20"/>
  <c r="F54" i="20" l="1"/>
  <c r="C53" i="20"/>
  <c r="G54" i="20"/>
  <c r="M54" i="20"/>
  <c r="H80" i="20"/>
  <c r="G80" i="20"/>
  <c r="F80" i="20"/>
  <c r="R80" i="20"/>
  <c r="U80" i="20"/>
  <c r="O80" i="20"/>
  <c r="C81" i="20"/>
  <c r="F53" i="20" l="1"/>
  <c r="G53" i="20"/>
  <c r="M53" i="20"/>
  <c r="C52" i="20"/>
  <c r="H81" i="20"/>
  <c r="G81" i="20"/>
  <c r="R81" i="20"/>
  <c r="U81" i="20"/>
  <c r="F81" i="20"/>
  <c r="O81" i="20"/>
  <c r="C82" i="20"/>
  <c r="G52" i="20" l="1"/>
  <c r="M52" i="20"/>
  <c r="F52" i="20"/>
  <c r="C51" i="20"/>
  <c r="H82" i="20"/>
  <c r="F82" i="20"/>
  <c r="G82" i="20"/>
  <c r="U82" i="20"/>
  <c r="R82" i="20"/>
  <c r="O82" i="20"/>
  <c r="C83" i="20"/>
  <c r="G51" i="20" l="1"/>
  <c r="M51" i="20"/>
  <c r="F51" i="20"/>
  <c r="C50" i="20"/>
  <c r="H83" i="20"/>
  <c r="F83" i="20"/>
  <c r="R83" i="20"/>
  <c r="U83" i="20"/>
  <c r="G83" i="20"/>
  <c r="C84" i="20"/>
  <c r="O83" i="20"/>
  <c r="F50" i="20" l="1"/>
  <c r="C49" i="20"/>
  <c r="G50" i="20"/>
  <c r="M50" i="20"/>
  <c r="H84" i="20"/>
  <c r="R84" i="20"/>
  <c r="G84" i="20"/>
  <c r="F84" i="20"/>
  <c r="U84" i="20"/>
  <c r="O84" i="20"/>
  <c r="C85" i="20"/>
  <c r="G49" i="20" l="1"/>
  <c r="F49" i="20"/>
  <c r="M49" i="20"/>
  <c r="C48" i="20"/>
  <c r="U85" i="20"/>
  <c r="F85" i="20"/>
  <c r="H85" i="20"/>
  <c r="R85" i="20"/>
  <c r="G85" i="20"/>
  <c r="C86" i="20"/>
  <c r="O85" i="20"/>
  <c r="G48" i="20" l="1"/>
  <c r="C47" i="20"/>
  <c r="F48" i="20"/>
  <c r="M48" i="20"/>
  <c r="H86" i="20"/>
  <c r="G86" i="20"/>
  <c r="R86" i="20"/>
  <c r="F86" i="20"/>
  <c r="U86" i="20"/>
  <c r="C87" i="20"/>
  <c r="O86" i="20"/>
  <c r="M47" i="20" l="1"/>
  <c r="G47" i="20"/>
  <c r="C46" i="20"/>
  <c r="F47" i="20"/>
  <c r="H87" i="20"/>
  <c r="U87" i="20"/>
  <c r="G87" i="20"/>
  <c r="R87" i="20"/>
  <c r="F87" i="20"/>
  <c r="C88" i="20"/>
  <c r="O87" i="20"/>
  <c r="F46" i="20" l="1"/>
  <c r="C45" i="20"/>
  <c r="M46" i="20"/>
  <c r="G46" i="20"/>
  <c r="H88" i="20"/>
  <c r="U88" i="20"/>
  <c r="R88" i="20"/>
  <c r="F88" i="20"/>
  <c r="G88" i="20"/>
  <c r="O88" i="20"/>
  <c r="C89" i="20"/>
  <c r="F45" i="20" l="1"/>
  <c r="M45" i="20"/>
  <c r="G45" i="20"/>
  <c r="C44" i="20"/>
  <c r="H89" i="20"/>
  <c r="F89" i="20"/>
  <c r="U89" i="20"/>
  <c r="G89" i="20"/>
  <c r="R89" i="20"/>
  <c r="C90" i="20"/>
  <c r="O89" i="20"/>
  <c r="F44" i="20" l="1"/>
  <c r="C43" i="20"/>
  <c r="G44" i="20"/>
  <c r="M44" i="20"/>
  <c r="R90" i="20"/>
  <c r="F90" i="20"/>
  <c r="U90" i="20"/>
  <c r="H90" i="20"/>
  <c r="G90" i="20"/>
  <c r="C91" i="20"/>
  <c r="O90" i="20"/>
  <c r="G43" i="20" l="1"/>
  <c r="F43" i="20"/>
  <c r="M43" i="20"/>
  <c r="C42" i="20"/>
  <c r="H91" i="20"/>
  <c r="F91" i="20"/>
  <c r="R91" i="20"/>
  <c r="G91" i="20"/>
  <c r="U91" i="20"/>
  <c r="O91" i="20"/>
  <c r="C92" i="20"/>
  <c r="H92" i="20" l="1"/>
  <c r="G92" i="20"/>
  <c r="U92" i="20"/>
  <c r="R92" i="20"/>
  <c r="F92" i="20"/>
  <c r="F42" i="20"/>
  <c r="M42" i="20"/>
  <c r="G42" i="20"/>
  <c r="O92" i="20"/>
  <c r="C93" i="20"/>
  <c r="H93" i="20" l="1"/>
  <c r="G93" i="20"/>
  <c r="R93" i="20"/>
  <c r="F93" i="20"/>
  <c r="U93" i="20"/>
  <c r="C94" i="20"/>
  <c r="O93" i="20"/>
  <c r="H94" i="20" l="1"/>
  <c r="U94" i="20"/>
  <c r="F94" i="20"/>
  <c r="R94" i="20"/>
  <c r="G94" i="20"/>
  <c r="O94" i="20"/>
  <c r="C95" i="20"/>
  <c r="H95" i="20" l="1"/>
  <c r="U95" i="20"/>
  <c r="G95" i="20"/>
  <c r="F95" i="20"/>
  <c r="R95" i="20"/>
  <c r="O95" i="20"/>
  <c r="C96" i="20"/>
  <c r="H96" i="20" l="1"/>
  <c r="U96" i="20"/>
  <c r="G96" i="20"/>
  <c r="R96" i="20"/>
  <c r="F96" i="20"/>
  <c r="C97" i="20"/>
  <c r="O96" i="20"/>
  <c r="H97" i="20" l="1"/>
  <c r="H29" i="20" s="1"/>
  <c r="L21" i="20" s="1"/>
  <c r="G24" i="25" s="1"/>
  <c r="R97" i="20"/>
  <c r="R29" i="20" s="1"/>
  <c r="F97" i="20"/>
  <c r="U97" i="20"/>
  <c r="U29" i="20" s="1"/>
  <c r="G26" i="25" s="1"/>
  <c r="G97" i="20"/>
  <c r="C98" i="20"/>
  <c r="O97" i="20"/>
  <c r="G25" i="25" l="1"/>
  <c r="L20" i="20"/>
  <c r="L22" i="20" s="1"/>
  <c r="O98" i="20"/>
  <c r="C99" i="20"/>
  <c r="C100" i="20" l="1"/>
  <c r="O99" i="20"/>
  <c r="C101" i="20" l="1"/>
  <c r="O100" i="20"/>
  <c r="O101" i="20" l="1"/>
  <c r="C102" i="20"/>
  <c r="C103" i="20" l="1"/>
  <c r="O102" i="20"/>
  <c r="C104" i="20" l="1"/>
  <c r="O103" i="20"/>
  <c r="C105" i="20" l="1"/>
  <c r="O104" i="20"/>
  <c r="O105" i="20" l="1"/>
  <c r="C106" i="20"/>
  <c r="C107" i="20" l="1"/>
  <c r="O106" i="20"/>
  <c r="G27" i="25" l="1"/>
  <c r="C108" i="20"/>
  <c r="O107" i="20"/>
  <c r="O108" i="20" l="1"/>
  <c r="C109" i="20"/>
  <c r="C110" i="20" l="1"/>
  <c r="O109" i="20"/>
  <c r="C111" i="20" l="1"/>
  <c r="O110" i="20"/>
  <c r="C112" i="20" l="1"/>
  <c r="O111" i="20"/>
  <c r="O112" i="20" l="1"/>
  <c r="C113" i="20"/>
  <c r="C114" i="20" l="1"/>
  <c r="O113" i="20"/>
  <c r="O114" i="20" l="1"/>
  <c r="C115" i="20"/>
  <c r="C116" i="20" l="1"/>
  <c r="O115" i="20"/>
  <c r="C117" i="20" l="1"/>
  <c r="O116" i="20"/>
  <c r="C118" i="20" l="1"/>
  <c r="O117" i="20"/>
  <c r="C119" i="20" l="1"/>
  <c r="O118" i="20"/>
  <c r="C120" i="20" l="1"/>
  <c r="O119" i="20"/>
  <c r="C121" i="20" l="1"/>
  <c r="O120" i="20"/>
  <c r="C122" i="20" l="1"/>
  <c r="O121" i="20"/>
  <c r="O122" i="20" l="1"/>
  <c r="C123" i="20"/>
  <c r="O123" i="20" l="1"/>
  <c r="C124" i="20"/>
  <c r="C125" i="20" l="1"/>
  <c r="O124" i="20"/>
  <c r="C126" i="20" l="1"/>
  <c r="O125" i="20"/>
  <c r="C127" i="20" l="1"/>
  <c r="O126" i="20"/>
  <c r="C128" i="20" l="1"/>
  <c r="O127" i="20"/>
  <c r="O128" i="20" l="1"/>
  <c r="C129" i="20"/>
  <c r="O129" i="20" s="1"/>
  <c r="C41" i="20"/>
  <c r="M41" i="20" s="1"/>
  <c r="C40" i="20"/>
  <c r="F40" i="20" s="1"/>
  <c r="C39" i="20"/>
  <c r="F39" i="20" s="1"/>
  <c r="K39" i="20"/>
  <c r="K29" i="20" s="1"/>
  <c r="H20" i="20" s="1"/>
  <c r="F41" i="20"/>
  <c r="M39" i="20"/>
  <c r="M40" i="20"/>
  <c r="G39" i="20"/>
  <c r="G40" i="20"/>
  <c r="G41" i="20"/>
  <c r="O29" i="20" l="1"/>
  <c r="K20" i="20" s="1"/>
  <c r="F29" i="20"/>
  <c r="H21" i="20" s="1"/>
  <c r="G22" i="25" s="1"/>
  <c r="G29" i="20"/>
  <c r="K21" i="20" s="1"/>
  <c r="M29" i="20"/>
  <c r="J20" i="20" s="1"/>
  <c r="G20" i="25"/>
  <c r="G21" i="25" l="1"/>
  <c r="K22" i="20"/>
  <c r="J21" i="20"/>
  <c r="G23" i="25" s="1"/>
  <c r="H22" i="20"/>
  <c r="J22" i="20"/>
  <c r="N22" i="20" l="1"/>
  <c r="N24" i="20" s="1"/>
  <c r="N25" i="20" s="1"/>
  <c r="C22" i="20"/>
  <c r="G19" i="25" s="1"/>
  <c r="J8" i="25" s="1"/>
  <c r="J1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 </t>
        </r>
        <r>
          <rPr>
            <b/>
            <sz val="9"/>
            <color indexed="81"/>
            <rFont val="Tahoma"/>
            <family val="2"/>
          </rPr>
          <t>Refer to Techincal Paper Demand for Water Services - Section 2.2.3</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Cherie Duncan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 ref="N51" authorId="1" shapeId="0" xr:uid="{F4948690-B383-4094-8B58-859AF2DD4F41}">
      <text>
        <r>
          <rPr>
            <b/>
            <sz val="9"/>
            <color indexed="81"/>
            <rFont val="Tahoma"/>
            <family val="2"/>
          </rPr>
          <t>Cherie Duncan:</t>
        </r>
        <r>
          <rPr>
            <sz val="9"/>
            <color indexed="81"/>
            <rFont val="Tahoma"/>
            <family val="2"/>
          </rPr>
          <t xml:space="preserve">
was missing $97 from original calculation sheet) 23/24 figures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<sst xmlns="http://schemas.openxmlformats.org/spreadsheetml/2006/main" count="653" uniqueCount="379">
  <si>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</si>
  <si>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</si>
  <si>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</si>
  <si>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</si>
  <si>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</si>
  <si>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</si>
  <si>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</si>
  <si>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</si>
  <si>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</si>
  <si>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</si>
  <si>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</si>
  <si>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</si>
  <si>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</si>
  <si>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</si>
  <si>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</si>
  <si>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</si>
  <si>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</si>
  <si>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</si>
  <si>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</si>
  <si>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</si>
  <si>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</si>
  <si>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</si>
  <si>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</si>
  <si>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</si>
  <si>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</si>
  <si>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</si>
  <si>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</si>
  <si>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</si>
  <si>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</si>
  <si>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</si>
  <si>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</si>
  <si>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</si>
  <si>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</si>
  <si>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</si>
  <si>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</si>
  <si>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</si>
  <si>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</si>
  <si>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</si>
  <si>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</si>
  <si>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</si>
  <si>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</si>
  <si>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</si>
  <si>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</si>
  <si>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</si>
  <si>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</si>
  <si>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</si>
  <si>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</si>
  <si>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</si>
  <si>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</si>
  <si>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</si>
  <si>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</si>
  <si>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</si>
  <si>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</si>
  <si>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</si>
  <si>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</si>
  <si>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</si>
  <si>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</si>
  <si>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</si>
  <si>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</si>
  <si>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</si>
  <si>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</si>
  <si>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</si>
  <si>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</si>
  <si>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</si>
  <si>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</si>
  <si>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</si>
  <si>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</si>
  <si>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</si>
  <si>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</si>
  <si>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</si>
  <si>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</si>
  <si>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</si>
  <si>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</si>
  <si>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</si>
  <si>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</si>
  <si>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</si>
  <si>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</si>
  <si>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</si>
  <si>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</si>
  <si>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</si>
  <si>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</si>
  <si>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</si>
  <si>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</si>
  <si>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</si>
  <si>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</si>
  <si>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</si>
  <si>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</si>
  <si>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</si>
  <si>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</si>
  <si>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</si>
  <si>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</si>
  <si>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</si>
  <si>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</si>
  <si>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</si>
  <si>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</si>
  <si>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</si>
  <si>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</si>
  <si>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</si>
  <si>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</si>
  <si>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</si>
  <si>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</si>
  <si>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</si>
  <si>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</si>
  <si>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</si>
  <si>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</si>
  <si>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</si>
  <si>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</si>
  <si>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</si>
  <si>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</si>
  <si>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</si>
  <si>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</si>
  <si>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</si>
  <si>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</si>
  <si>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</si>
  <si>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</si>
  <si>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</si>
  <si>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</si>
  <si>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</si>
  <si>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</si>
  <si>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</si>
  <si>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</si>
  <si>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</si>
  <si>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</si>
  <si>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</si>
  <si>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</si>
  <si>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Central Coast Council</t>
  </si>
  <si>
    <t>Agency name</t>
  </si>
  <si>
    <t>Pre-1996 discount rate</t>
  </si>
  <si>
    <t>DSP name</t>
  </si>
  <si>
    <t>Nothern Region Water DSP</t>
  </si>
  <si>
    <t>Hunter Water Corporation</t>
  </si>
  <si>
    <t>System name (allows cross checking of headworks costs)</t>
  </si>
  <si>
    <t>Northern Water</t>
  </si>
  <si>
    <t>Sydney Water Corporation</t>
  </si>
  <si>
    <t xml:space="preserve">Service this DSP relates to </t>
  </si>
  <si>
    <t>Water</t>
  </si>
  <si>
    <t>Timeframes</t>
  </si>
  <si>
    <t>Relevant financial year</t>
  </si>
  <si>
    <t>Sewerage</t>
  </si>
  <si>
    <t>Stormwater</t>
  </si>
  <si>
    <t>Financial year of registration for the DSP</t>
  </si>
  <si>
    <t>2024-25</t>
  </si>
  <si>
    <t>Final date where assets can be commissioned</t>
  </si>
  <si>
    <t>2018-19</t>
  </si>
  <si>
    <t>2019-20</t>
  </si>
  <si>
    <t>Date range for pre 1996 assets</t>
  </si>
  <si>
    <t>2020-21</t>
  </si>
  <si>
    <t>2021-22</t>
  </si>
  <si>
    <t>First day</t>
  </si>
  <si>
    <t>2022-23</t>
  </si>
  <si>
    <t>Last day</t>
  </si>
  <si>
    <t>2023-24</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</si>
  <si>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</si>
  <si>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</si>
  <si>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</si>
  <si>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</si>
  <si>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</si>
  <si>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</si>
  <si>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</si>
  <si>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</si>
  <si>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</si>
  <si>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</si>
  <si>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</si>
  <si>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</si>
  <si>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</si>
  <si>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</si>
  <si>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</si>
  <si>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</si>
  <si>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</si>
  <si>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</si>
  <si>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</si>
  <si>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</si>
  <si>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</si>
  <si>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</si>
  <si>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</si>
  <si>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</si>
  <si>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</si>
  <si>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End date</t>
  </si>
  <si>
    <t>Register of pre-1996 assets</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</si>
  <si>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</si>
  <si>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</si>
  <si>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</si>
  <si>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</si>
  <si>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</si>
  <si>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</si>
  <si>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</si>
  <si>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</si>
  <si>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</si>
  <si>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</si>
  <si>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</si>
  <si>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</si>
  <si>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Water Pump Stations</t>
  </si>
  <si>
    <t>WPS06</t>
  </si>
  <si>
    <t>North</t>
  </si>
  <si>
    <t>WPS09</t>
  </si>
  <si>
    <t>WPS10</t>
  </si>
  <si>
    <t>WPS13</t>
  </si>
  <si>
    <t>WPS14</t>
  </si>
  <si>
    <t>WPS15</t>
  </si>
  <si>
    <t>WPS16</t>
  </si>
  <si>
    <t>WPS18</t>
  </si>
  <si>
    <t>Reticulation Mains</t>
  </si>
  <si>
    <t>Transfer Mains</t>
  </si>
  <si>
    <t>Distribution Mains</t>
  </si>
  <si>
    <t>Motorised Valves</t>
  </si>
  <si>
    <t>MOVBB</t>
  </si>
  <si>
    <t>Bateau Bay Motorised Valve Site</t>
  </si>
  <si>
    <t>MOVKWL</t>
  </si>
  <si>
    <t>Kanwal Motorised Valve Site</t>
  </si>
  <si>
    <t>MOVTUG1</t>
  </si>
  <si>
    <t>Tuggerah 1 Reservoir Motorised Valve</t>
  </si>
  <si>
    <t>MOVWPS10</t>
  </si>
  <si>
    <t>WPS10 Motorised Valve Site</t>
  </si>
  <si>
    <t>PRVTUMB</t>
  </si>
  <si>
    <t>Tumbi PRV Site</t>
  </si>
  <si>
    <t>Reservoirs</t>
  </si>
  <si>
    <t>RESDOY</t>
  </si>
  <si>
    <t xml:space="preserve">Doyalson </t>
  </si>
  <si>
    <t>RESKA3</t>
  </si>
  <si>
    <t>Kanwal No 3</t>
  </si>
  <si>
    <t>RESKAN</t>
  </si>
  <si>
    <t>Kanangra</t>
  </si>
  <si>
    <t>RESRID1</t>
  </si>
  <si>
    <t xml:space="preserve">The Ridgeway </t>
  </si>
  <si>
    <t>RESRID2</t>
  </si>
  <si>
    <t>RESSAN1</t>
  </si>
  <si>
    <t xml:space="preserve">Sandhills 1 </t>
  </si>
  <si>
    <t>RESSAN2</t>
  </si>
  <si>
    <t xml:space="preserve">Sandhills 2 </t>
  </si>
  <si>
    <t>RESSAN3</t>
  </si>
  <si>
    <t xml:space="preserve">Sandhills 3 </t>
  </si>
  <si>
    <t>RESSAN4</t>
  </si>
  <si>
    <t xml:space="preserve">Sandhills 4 </t>
  </si>
  <si>
    <t>RESSAN5</t>
  </si>
  <si>
    <t xml:space="preserve">Sandhills 5 </t>
  </si>
  <si>
    <t>RESSAN6</t>
  </si>
  <si>
    <t xml:space="preserve">Sandhills 6 </t>
  </si>
  <si>
    <t>RESSAN7</t>
  </si>
  <si>
    <t xml:space="preserve">Sandhills 7 </t>
  </si>
  <si>
    <t>RESTRE1</t>
  </si>
  <si>
    <t>Treelands 1 (South)</t>
  </si>
  <si>
    <t>RESTRE2</t>
  </si>
  <si>
    <t>Treelands 2 (North)</t>
  </si>
  <si>
    <t>RESTUG1</t>
  </si>
  <si>
    <t xml:space="preserve">Tuggerah 1 </t>
  </si>
  <si>
    <t>RESWYR</t>
  </si>
  <si>
    <t xml:space="preserve">Wyrrabalong </t>
  </si>
  <si>
    <t>Tunnels</t>
  </si>
  <si>
    <t>HELCORE</t>
  </si>
  <si>
    <t>Helcore Tunnel - Mardi</t>
  </si>
  <si>
    <t>Total</t>
  </si>
  <si>
    <t>POST-1996 COMMISSIONED ASSETS WITH A NEXUS TO THE SERVICE FOR WHICH THE MAXIMUM PRICE IS BEING CALCULATED</t>
  </si>
  <si>
    <t>Register of post-1996 commissioned assets</t>
  </si>
  <si>
    <t>Financial year of commissioning</t>
  </si>
  <si>
    <t>WPS19</t>
  </si>
  <si>
    <t>Northern Region</t>
  </si>
  <si>
    <t>WPS26</t>
  </si>
  <si>
    <t>2021</t>
  </si>
  <si>
    <t>2023</t>
  </si>
  <si>
    <t>2024</t>
  </si>
  <si>
    <t>Mardi to Warnervale Pipeline</t>
  </si>
  <si>
    <t>Distributions Main</t>
  </si>
  <si>
    <t>MOVMTWVH</t>
  </si>
  <si>
    <t>MOVMTWVH Mardi to Warnervale Valve House</t>
  </si>
  <si>
    <t>MOVMTWVS</t>
  </si>
  <si>
    <t>MOVMTWVS Mardi to Warnervale Valve Station at WTPMA</t>
  </si>
  <si>
    <t>MOVTUG2</t>
  </si>
  <si>
    <t>Tuggerah 2 Reservoir Motorised Valve</t>
  </si>
  <si>
    <t>RESBR1</t>
  </si>
  <si>
    <t>RESBR2</t>
  </si>
  <si>
    <t>RESOUR2-1</t>
  </si>
  <si>
    <t>RESOUR2-2</t>
  </si>
  <si>
    <t>POST-1996 UNCOMMISSIONED ASSETS WITH A NEXUS TO THE SERVICE FOR WHICH THE MAXIMUM PRICE IS BEING CALCULATED</t>
  </si>
  <si>
    <t>Register of uncommissioned assets</t>
  </si>
  <si>
    <t>Water Reservoir</t>
  </si>
  <si>
    <t>Kair Ridge</t>
  </si>
  <si>
    <t>Water Mains</t>
  </si>
  <si>
    <t xml:space="preserve">Bellevue Rd - The Entrance Rd through proposed subdivision </t>
  </si>
  <si>
    <t>Bellevue Rd - The Entrance Rd through proposed subdivision</t>
  </si>
  <si>
    <t>Water Main - Narrawa Ave</t>
  </si>
  <si>
    <t>Water Main - Fairport Ave to Marine Pde</t>
  </si>
  <si>
    <t>Water Main - Beenbah Ave</t>
  </si>
  <si>
    <t>Water Main - Gosford Ave to Anzac Ave/Frazer Rd</t>
  </si>
  <si>
    <t>Water Main - Archbold Rd</t>
  </si>
  <si>
    <t>Water Main - Kitchener Rd</t>
  </si>
  <si>
    <t>Water Main - Stella, Bay Rd &amp; Pacific St</t>
  </si>
  <si>
    <t>Water Main - Yethonga St</t>
  </si>
  <si>
    <t xml:space="preserve">Water Main - Oaks Ave </t>
  </si>
  <si>
    <t>Water Main - Denning St, Bay Rd &amp; Boondilla</t>
  </si>
  <si>
    <t>Water Main - The Entrance Bridge - Associated with SRM Upgrade</t>
  </si>
  <si>
    <t>Water Mains DN 200mm  - Arizona Rd to Charmhaven TM</t>
  </si>
  <si>
    <t>Water Mains DN 200mm  - Blue Haven to Tooheys Rd Industrial Land</t>
  </si>
  <si>
    <t>Water Mains DN 200mm - Kiar Ridge zone</t>
  </si>
  <si>
    <t>Water Mains DN 450mm Kiar Ridge Reservoir to M2W Pipeline</t>
  </si>
  <si>
    <t>Water Mains DN 200mm - Wyong Precinct 6</t>
  </si>
  <si>
    <t>Water Mains DN 250mm - Wyong Precinct 6</t>
  </si>
  <si>
    <t>Water Mains DN 375mm - Wyong Precinct 6</t>
  </si>
  <si>
    <t>Water Mains DN 200mm - Hakone Road Linkage</t>
  </si>
  <si>
    <t>Water Mains - Murrawal Rd / Wahroonga Rd / Louisiana Rd Ring Main</t>
  </si>
  <si>
    <t>Water Mains - Welog - Jensen Rd</t>
  </si>
  <si>
    <t xml:space="preserve">Water Mains - Welog Johns Rd to Jensen Rd </t>
  </si>
  <si>
    <t>Water Mains - Darkinjung - Chainvalley Bay Rd (West)</t>
  </si>
  <si>
    <t xml:space="preserve">Water Mains - Darkingjung - Chainvalley Bay Rd (East) </t>
  </si>
  <si>
    <t>Water Main - Rising Main Precinct 20</t>
  </si>
  <si>
    <t>EQUIVALENT TENEMENTS (ETs) SINCE 1 JULY 1996 RELATING TO THE DSP UNDER CONSIDERATION</t>
  </si>
  <si>
    <t>ET consumption assumption (kL/year)</t>
  </si>
  <si>
    <t>Single dwelling</t>
  </si>
  <si>
    <t>Multi dwelling</t>
  </si>
  <si>
    <t>Schools</t>
  </si>
  <si>
    <t>Commercial</t>
  </si>
  <si>
    <t>Light industrial</t>
  </si>
  <si>
    <t>Non-res 4</t>
  </si>
  <si>
    <t>Non-res 5</t>
  </si>
  <si>
    <t>Non-res 6</t>
  </si>
  <si>
    <t>Non-res 7</t>
  </si>
  <si>
    <t>Non-res 8</t>
  </si>
  <si>
    <t>Consumption assumption</t>
  </si>
  <si>
    <t>kL/year/ property</t>
  </si>
  <si>
    <t>kL/hectare/year</t>
  </si>
  <si>
    <t>kL/property/year</t>
  </si>
  <si>
    <t>Total new ETs in DSP area</t>
  </si>
  <si>
    <t>Annual take-up of single residential dwellings</t>
  </si>
  <si>
    <t>Annual take-up of multi-dwelling residential units</t>
  </si>
  <si>
    <t>Do not delete section below - this is where the user can enter alternative consumption assumption options for non-residential customer groups.</t>
  </si>
  <si>
    <t>properties</t>
  </si>
  <si>
    <t>hectares</t>
  </si>
  <si>
    <t>The plural of the units will only affect headings.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</si>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</sst>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s>
  <fonts count="2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s>
  <fills count="1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s>
  <borders count="22">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cellStyleXfs>
  <cellXfs count="213">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169" fontId="1" fillId="4" borderId="7" xfId="6" applyNumberFormat="1" applyBorder="1" applyAlignment="1">
      <alignment horizontal="center"/>
      <protection locked="0"/>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3" fontId="1" fillId="4" borderId="8"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71" fontId="1" fillId="10" borderId="6" xfId="13" applyNumberFormat="1" applyFill="1" applyBorder="1" applyAlignment="1">
      <alignment horizontal="center"/>
      <protection locked="0"/>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0" fontId="19" fillId="0" borderId="0" xfId="0" applyFont="1" applyAlignment="1">
      <alignment wrapText="1"/>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9" fontId="1" fillId="4" borderId="8" xfId="6" applyNumberFormat="1" applyBorder="1" applyAlignment="1">
      <alignment horizontal="center"/>
      <protection locked="0"/>
    </xf>
    <xf numFmtId="170" fontId="1" fillId="4" borderId="8" xfId="6" applyNumberFormat="1" applyBorder="1" applyAlignment="1">
      <alignment horizontal="center"/>
      <protection locked="0"/>
    </xf>
    <xf numFmtId="3" fontId="1" fillId="10" borderId="5" xfId="6" applyNumberFormat="1" applyFill="1" applyBorder="1" applyAlignment="1">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3" fontId="10" fillId="0" borderId="5" xfId="0" applyNumberFormat="1" applyFont="1" applyBorder="1" applyAlignment="1">
      <alignment horizontal="center"/>
    </xf>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3" fontId="5" fillId="9" borderId="10" xfId="9" applyNumberFormat="1" applyFill="1" applyBorder="1"/>
    <xf numFmtId="0" fontId="5" fillId="5" borderId="20" xfId="9"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4" fontId="0" fillId="6" borderId="5" xfId="0" applyNumberFormat="1" applyFill="1" applyBorder="1" applyAlignment="1">
      <alignment horizontal="center"/>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4" fontId="10" fillId="4" borderId="6" xfId="6" applyFont="1" applyBorder="1" applyAlignment="1">
      <alignment horizontal="left" wrapText="1" indent="1"/>
      <protection locked="0"/>
    </xf>
    <xf numFmtId="4" fontId="10" fillId="4" borderId="7" xfId="6" applyFont="1" applyBorder="1" applyAlignment="1">
      <alignment horizontal="left" wrapText="1" indent="1"/>
      <protection locked="0"/>
    </xf>
    <xf numFmtId="49" fontId="1" fillId="4" borderId="7" xfId="6" applyNumberFormat="1" applyBorder="1" applyAlignment="1">
      <alignment horizontal="left" wrapText="1" indent="1"/>
      <protection locked="0"/>
    </xf>
    <xf numFmtId="0" fontId="11" fillId="0" borderId="0" xfId="0" applyFont="1" applyAlignment="1">
      <alignment horizontal="center"/>
    </xf>
    <xf numFmtId="0" fontId="14" fillId="6" borderId="0" xfId="14" applyFill="1" applyAlignment="1">
      <alignment horizontal="center"/>
    </xf>
    <xf numFmtId="0" fontId="14" fillId="0" borderId="0" xfId="0" applyFont="1" applyAlignment="1">
      <alignment horizontal="center"/>
    </xf>
    <xf numFmtId="0" fontId="9" fillId="0" borderId="0" xfId="0" applyFont="1" applyAlignment="1">
      <alignment horizontal="center"/>
    </xf>
    <xf numFmtId="3" fontId="10" fillId="4" borderId="6" xfId="6" applyNumberFormat="1" applyFont="1" applyBorder="1" applyAlignment="1">
      <alignment horizontal="center"/>
      <protection locked="0"/>
    </xf>
    <xf numFmtId="3" fontId="10" fillId="4" borderId="7" xfId="6" applyNumberFormat="1" applyFont="1" applyBorder="1" applyAlignment="1">
      <alignment horizontal="center"/>
      <protection locked="0"/>
    </xf>
    <xf numFmtId="3" fontId="0" fillId="0" borderId="11" xfId="0" applyNumberFormat="1" applyBorder="1"/>
    <xf numFmtId="3" fontId="1" fillId="7" borderId="7" xfId="6" applyNumberFormat="1" applyFill="1" applyBorder="1" applyAlignment="1">
      <alignment horizontal="center"/>
      <protection locked="0"/>
    </xf>
    <xf numFmtId="3" fontId="1" fillId="4" borderId="5" xfId="6" applyNumberFormat="1" applyBorder="1" applyAlignment="1">
      <protection locked="0"/>
    </xf>
    <xf numFmtId="0" fontId="0" fillId="0" borderId="0" xfId="0" applyAlignment="1">
      <alignment wrapText="1"/>
    </xf>
    <xf numFmtId="0" fontId="0" fillId="0" borderId="0" xfId="0"/>
    <xf numFmtId="4" fontId="1" fillId="4" borderId="20" xfId="6" applyBorder="1" applyAlignment="1">
      <protection locked="0"/>
    </xf>
    <xf numFmtId="0" fontId="0" fillId="0" borderId="10" xfId="0" applyBorder="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0">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Percent 2" xfId="18" xr:uid="{00000000-0005-0000-0000-000011000000}"/>
    <cellStyle name="Percent 2 2" xfId="19" xr:uid="{00000000-0005-0000-0000-000012000000}"/>
    <cellStyle name="QA" xfId="14" xr:uid="{00000000-0005-0000-0000-000013000000}"/>
  </cellStyles>
  <dxfs count="15">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s>
  <tableStyles count="0" defaultTableStyle="TableStyleMedium2" defaultPivotStyle="PivotStyleLight16"/>
  <colors>
    <mruColors>
      <color rgb="FFFF9933"/>
      <color rgb="FFDDDDDD"/>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0976562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6" t="s">
        <v>4</v>
      </c>
      <c r="F6" s="8"/>
      <c r="G6" s="8"/>
      <c r="I6" s="8"/>
    </row>
    <row r="8" spans="3:9" ht="15.75" customHeight="1" x14ac:dyDescent="0.25">
      <c r="C8" s="7"/>
      <c r="D8" s="7"/>
      <c r="E8" s="7"/>
      <c r="F8" s="8"/>
      <c r="G8" s="8"/>
    </row>
    <row r="10" spans="3:9" ht="14" x14ac:dyDescent="0.3">
      <c r="C10" s="10" t="s">
        <v>5</v>
      </c>
      <c r="D10" s="10"/>
      <c r="E10" s="11"/>
    </row>
    <row r="12" spans="3:9" ht="27" customHeight="1" x14ac:dyDescent="0.25">
      <c r="C12" s="207" t="s">
        <v>6</v>
      </c>
      <c r="D12" s="207"/>
      <c r="E12" s="207"/>
      <c r="F12" s="8"/>
      <c r="G12" s="8"/>
      <c r="I12" s="8"/>
    </row>
    <row r="13" spans="3:9" x14ac:dyDescent="0.25">
      <c r="C13" s="41"/>
      <c r="D13" s="41"/>
      <c r="E13" s="41"/>
      <c r="F13" s="8"/>
      <c r="G13" s="8"/>
      <c r="I13" s="8"/>
    </row>
    <row r="14" spans="3:9" ht="35.5" customHeight="1" x14ac:dyDescent="0.25">
      <c r="C14" s="207" t="s">
        <v>7</v>
      </c>
      <c r="D14" s="207"/>
      <c r="E14" s="207"/>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5" customHeight="1" x14ac:dyDescent="0.25">
      <c r="C18" s="207"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07"/>
      <c r="E18" s="207"/>
      <c r="F18" s="8"/>
      <c r="G18" s="8"/>
      <c r="I18" s="8"/>
    </row>
    <row r="19" spans="2:9" ht="6" customHeight="1" x14ac:dyDescent="0.25">
      <c r="D19" s="12"/>
      <c r="E19" s="8"/>
      <c r="F19" s="8"/>
      <c r="G19" s="8"/>
      <c r="I19" s="8"/>
    </row>
    <row r="20" spans="2:9" ht="37.5" customHeight="1" x14ac:dyDescent="0.25">
      <c r="B20" s="124"/>
      <c r="C20" s="207"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07"/>
      <c r="E20" s="207"/>
      <c r="F20" s="8"/>
      <c r="G20" s="8"/>
      <c r="I20" s="8"/>
    </row>
    <row r="21" spans="2:9" x14ac:dyDescent="0.25">
      <c r="B21" s="124"/>
      <c r="C21" s="41"/>
      <c r="D21" s="41"/>
      <c r="E21" s="41"/>
      <c r="F21" s="8"/>
      <c r="G21" s="8"/>
      <c r="I21" s="8"/>
    </row>
    <row r="22" spans="2:9" ht="14" x14ac:dyDescent="0.3">
      <c r="B22" s="124"/>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08" t="s">
        <v>11</v>
      </c>
      <c r="D26" s="208"/>
      <c r="E26" s="208"/>
      <c r="F26" s="8"/>
      <c r="G26" s="8"/>
      <c r="H26" s="8"/>
      <c r="I26" s="8"/>
    </row>
    <row r="27" spans="2:9" ht="6" customHeight="1" x14ac:dyDescent="0.25">
      <c r="D27" s="12"/>
      <c r="E27" s="8"/>
      <c r="F27" s="8"/>
      <c r="G27" s="8"/>
      <c r="H27" s="8"/>
      <c r="I27" s="8"/>
    </row>
    <row r="28" spans="2:9" ht="15" customHeight="1" x14ac:dyDescent="0.25">
      <c r="C28" s="125" t="s">
        <v>12</v>
      </c>
      <c r="D28" s="77" t="str">
        <f ca="1">MID(CELL("filename",'General inputs'!$A$1),FIND("]",CELL("filename",'General inputs'!$A$1))+1,255)</f>
        <v>General inputs</v>
      </c>
      <c r="E28" s="8"/>
      <c r="F28" s="8"/>
      <c r="G28" s="8"/>
      <c r="H28" s="8"/>
      <c r="I28" s="8"/>
    </row>
    <row r="29" spans="2:9" ht="15" customHeight="1" x14ac:dyDescent="0.25">
      <c r="C29" s="125" t="s">
        <v>12</v>
      </c>
      <c r="D29" s="8" t="str">
        <f ca="1">MID(CELL("filename",'Pre-1996 assets'!$A$1),FIND("]",CELL("filename",'Pre-1996 assets'!$A$1))+1,255)</f>
        <v>Pre-1996 assets</v>
      </c>
      <c r="E29" s="8"/>
      <c r="F29" s="8"/>
      <c r="G29" s="8"/>
      <c r="H29" s="8"/>
      <c r="I29" s="8"/>
    </row>
    <row r="30" spans="2:9" ht="15" customHeight="1" x14ac:dyDescent="0.25">
      <c r="C30" s="125" t="s">
        <v>12</v>
      </c>
      <c r="D30" s="8" t="str">
        <f ca="1">MID(CELL("filename",'Post-1996 commissioned assets'!$A$1),FIND("]",CELL("filename",'Post-1996 commissioned assets'!$A$1))+1,255)</f>
        <v>Post-1996 commissioned assets</v>
      </c>
      <c r="E30" s="8"/>
      <c r="F30" s="8"/>
      <c r="G30" s="8"/>
      <c r="H30" s="8"/>
      <c r="I30" s="8"/>
    </row>
    <row r="31" spans="2:9" ht="15" customHeight="1" x14ac:dyDescent="0.25">
      <c r="C31" s="125" t="s">
        <v>12</v>
      </c>
      <c r="D31" s="8" t="str">
        <f ca="1">MID(CELL("filename",'Uncommissioned assets'!$A$1),FIND("]",CELL("filename",'Uncommissioned assets'!$A$1))+1,255)</f>
        <v>Uncommissioned assets</v>
      </c>
      <c r="E31" s="8"/>
      <c r="F31" s="8"/>
      <c r="G31" s="8"/>
      <c r="H31" s="8"/>
      <c r="I31" s="8"/>
    </row>
    <row r="32" spans="2:9" ht="15" customHeight="1" x14ac:dyDescent="0.25">
      <c r="C32" s="125"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41"/>
      <c r="D35" s="41"/>
      <c r="E35" s="41"/>
      <c r="F35" s="8"/>
      <c r="G35" s="8"/>
      <c r="H35" s="8"/>
      <c r="I35" s="8"/>
    </row>
    <row r="36" spans="3:9" ht="15" customHeight="1" x14ac:dyDescent="0.25">
      <c r="C36" s="207" t="s">
        <v>14</v>
      </c>
      <c r="D36" s="207"/>
      <c r="E36" s="207"/>
      <c r="F36" s="8"/>
      <c r="G36" s="8"/>
      <c r="H36" s="8"/>
      <c r="I36" s="8"/>
    </row>
    <row r="37" spans="3:9" ht="6" customHeight="1" x14ac:dyDescent="0.25">
      <c r="D37" s="12"/>
      <c r="E37" s="8"/>
      <c r="F37" s="8"/>
      <c r="G37" s="8"/>
      <c r="H37" s="8"/>
      <c r="I37" s="8"/>
    </row>
    <row r="38" spans="3:9" ht="15" customHeight="1" x14ac:dyDescent="0.25">
      <c r="C38" s="126"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07"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07"/>
      <c r="E40" s="207"/>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07" t="s">
        <v>16</v>
      </c>
      <c r="D46" s="207"/>
      <c r="E46" s="207"/>
      <c r="F46" s="8"/>
      <c r="G46" s="8"/>
      <c r="H46" s="8"/>
      <c r="I46" s="8"/>
    </row>
    <row r="47" spans="3:9" ht="6" customHeight="1" x14ac:dyDescent="0.25">
      <c r="C47" s="41"/>
      <c r="D47" s="41"/>
      <c r="E47" s="41"/>
      <c r="F47" s="8"/>
      <c r="G47" s="8"/>
      <c r="H47" s="8"/>
      <c r="I47" s="8"/>
    </row>
    <row r="48" spans="3:9" ht="15" customHeight="1" x14ac:dyDescent="0.25">
      <c r="C48" s="126" t="s">
        <v>12</v>
      </c>
      <c r="D48" s="8" t="str">
        <f ca="1">MID(CELL("filename",'Headwork assets'!$A$1),FIND("]",CELL("filename",'Headwork assets'!$A$1))+1,255)</f>
        <v>Headwork assets</v>
      </c>
      <c r="E48" s="8"/>
      <c r="F48" s="8"/>
      <c r="G48" s="8"/>
      <c r="H48" s="8"/>
      <c r="I48" s="8"/>
    </row>
    <row r="49" spans="3:9" ht="6" customHeight="1" x14ac:dyDescent="0.25">
      <c r="C49" s="126"/>
      <c r="D49" s="8"/>
      <c r="E49" s="8"/>
      <c r="F49" s="8"/>
      <c r="G49" s="8"/>
      <c r="H49" s="8"/>
      <c r="I49" s="8"/>
    </row>
    <row r="50" spans="3:9" ht="15" customHeight="1" x14ac:dyDescent="0.25">
      <c r="C50" s="208" t="s">
        <v>17</v>
      </c>
      <c r="D50" s="208"/>
      <c r="E50" s="208"/>
      <c r="F50" s="8"/>
      <c r="G50" s="8"/>
      <c r="H50" s="8"/>
      <c r="I50" s="8"/>
    </row>
    <row r="51" spans="3:9" ht="6" customHeight="1" x14ac:dyDescent="0.25">
      <c r="F51" s="8"/>
      <c r="G51" s="8"/>
      <c r="H51" s="8"/>
      <c r="I51" s="8"/>
    </row>
    <row r="52" spans="3:9" ht="24" customHeight="1" x14ac:dyDescent="0.25">
      <c r="C52" s="207" t="s">
        <v>18</v>
      </c>
      <c r="D52" s="207"/>
      <c r="E52" s="207"/>
      <c r="F52" s="8"/>
      <c r="G52" s="8"/>
      <c r="H52" s="8"/>
      <c r="I52" s="8"/>
    </row>
    <row r="53" spans="3:9" ht="15" customHeight="1" x14ac:dyDescent="0.25">
      <c r="C53" s="41"/>
      <c r="D53" s="41"/>
      <c r="E53" s="41"/>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41"/>
      <c r="E54" s="41"/>
      <c r="F54" s="8"/>
      <c r="G54" s="8"/>
      <c r="H54" s="8"/>
      <c r="I54" s="8"/>
    </row>
    <row r="55" spans="3:9" ht="15" customHeight="1" x14ac:dyDescent="0.25">
      <c r="C55" s="41"/>
      <c r="D55" s="41"/>
      <c r="E55" s="41"/>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07" t="s">
        <v>20</v>
      </c>
      <c r="D58" s="207"/>
      <c r="E58" s="207"/>
      <c r="F58" s="8"/>
      <c r="G58" s="8"/>
      <c r="H58" s="8"/>
      <c r="I58" s="8"/>
    </row>
    <row r="59" spans="3:9" ht="6" customHeight="1" x14ac:dyDescent="0.25">
      <c r="C59" s="41"/>
      <c r="D59" s="41"/>
      <c r="E59" s="41"/>
      <c r="F59" s="8"/>
      <c r="G59" s="8"/>
      <c r="H59" s="8"/>
      <c r="I59" s="8"/>
    </row>
    <row r="60" spans="3:9" ht="15" customHeight="1" x14ac:dyDescent="0.25">
      <c r="C60" s="126" t="s">
        <v>12</v>
      </c>
      <c r="D60" s="8" t="str">
        <f ca="1">MID(CELL("filename",'Scheme cost allocation'!$A$1),FIND("]",CELL("filename",'Scheme cost allocation'!$A$1))+1,255)</f>
        <v>Scheme cost allocation</v>
      </c>
      <c r="E60" s="8"/>
      <c r="F60" s="8"/>
      <c r="G60" s="8"/>
      <c r="H60" s="8"/>
      <c r="I60" s="8"/>
    </row>
    <row r="61" spans="3:9" ht="6" customHeight="1" x14ac:dyDescent="0.25">
      <c r="C61" s="126"/>
      <c r="D61" s="8"/>
      <c r="E61" s="8"/>
      <c r="F61" s="8"/>
      <c r="G61" s="8"/>
      <c r="H61" s="8"/>
      <c r="I61" s="8"/>
    </row>
    <row r="62" spans="3:9" ht="15" customHeight="1" x14ac:dyDescent="0.25">
      <c r="C62" s="208" t="s">
        <v>21</v>
      </c>
      <c r="D62" s="208"/>
      <c r="E62" s="208"/>
      <c r="F62" s="8"/>
      <c r="G62" s="8"/>
      <c r="H62" s="8"/>
      <c r="I62" s="8"/>
    </row>
    <row r="63" spans="3:9" ht="6" customHeight="1" x14ac:dyDescent="0.25">
      <c r="F63" s="8"/>
      <c r="G63" s="8"/>
      <c r="H63" s="8"/>
      <c r="I63" s="8"/>
    </row>
    <row r="64" spans="3:9" ht="24" customHeight="1" x14ac:dyDescent="0.25">
      <c r="C64" s="207" t="s">
        <v>18</v>
      </c>
      <c r="D64" s="207"/>
      <c r="E64" s="207"/>
      <c r="F64" s="8"/>
      <c r="G64" s="8"/>
      <c r="H64" s="8"/>
      <c r="I64" s="8"/>
    </row>
    <row r="65" spans="3:9" ht="6" customHeight="1" x14ac:dyDescent="0.25">
      <c r="C65" s="41"/>
      <c r="D65" s="41"/>
      <c r="E65" s="41"/>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41"/>
      <c r="E66" s="41"/>
      <c r="F66" s="8"/>
      <c r="G66" s="8"/>
      <c r="H66" s="8"/>
      <c r="I66" s="8"/>
    </row>
    <row r="67" spans="3:9" ht="15" customHeight="1" x14ac:dyDescent="0.25">
      <c r="C67" s="41"/>
      <c r="D67" s="41"/>
      <c r="E67" s="41"/>
      <c r="F67" s="8"/>
      <c r="G67" s="8"/>
      <c r="H67" s="8"/>
      <c r="I67" s="8"/>
    </row>
    <row r="68" spans="3:9" ht="15" customHeight="1" x14ac:dyDescent="0.25">
      <c r="C68" s="6" t="s">
        <v>22</v>
      </c>
      <c r="D68" s="6"/>
      <c r="E68" s="127"/>
      <c r="F68" s="8"/>
      <c r="G68" s="8"/>
      <c r="H68" s="8"/>
      <c r="I68" s="8"/>
    </row>
    <row r="69" spans="3:9" ht="6" customHeight="1" x14ac:dyDescent="0.25">
      <c r="C69" s="6"/>
      <c r="D69" s="6"/>
      <c r="E69" s="127"/>
      <c r="F69" s="8"/>
      <c r="G69" s="8"/>
      <c r="H69" s="8"/>
      <c r="I69" s="8"/>
    </row>
    <row r="70" spans="3:9" ht="15" customHeight="1" x14ac:dyDescent="0.25">
      <c r="C70" s="4" t="s">
        <v>23</v>
      </c>
      <c r="D70" s="6"/>
      <c r="E70" s="127"/>
      <c r="F70" s="8"/>
      <c r="G70" s="8"/>
      <c r="H70" s="8"/>
      <c r="I70" s="8"/>
    </row>
    <row r="71" spans="3:9" ht="6" customHeight="1" x14ac:dyDescent="0.25">
      <c r="C71" s="4"/>
      <c r="D71" s="6"/>
      <c r="E71" s="127"/>
      <c r="F71" s="8"/>
      <c r="G71" s="8"/>
      <c r="H71" s="8"/>
      <c r="I71" s="8"/>
    </row>
    <row r="72" spans="3:9" x14ac:dyDescent="0.25">
      <c r="C72" s="126" t="s">
        <v>12</v>
      </c>
      <c r="D72" s="77" t="str">
        <f ca="1">MID(CELL("filename",'MP Calculations'!A8),FIND("]",CELL("filename",'MP Calculations'!A8))+1,255)</f>
        <v>MP Calculations</v>
      </c>
      <c r="E72" s="127"/>
      <c r="F72" s="8"/>
      <c r="G72" s="8"/>
      <c r="H72" s="8"/>
      <c r="I72" s="8"/>
    </row>
    <row r="73" spans="3:9" x14ac:dyDescent="0.25">
      <c r="C73" s="126" t="s">
        <v>12</v>
      </c>
      <c r="D73" s="77" t="str">
        <f ca="1">MID(CELL("filename",'Summary of result'!A11),FIND("]",CELL("filename",'Summary of result'!A11))+1,255)</f>
        <v>Summary of result</v>
      </c>
      <c r="E73" s="127"/>
      <c r="F73" s="8"/>
      <c r="G73" s="8"/>
      <c r="H73" s="8"/>
      <c r="I73" s="8"/>
    </row>
    <row r="74" spans="3:9" ht="6" customHeight="1" x14ac:dyDescent="0.25">
      <c r="C74" s="126"/>
      <c r="D74" s="77"/>
      <c r="E74" s="127"/>
      <c r="F74" s="8"/>
      <c r="G74" s="8"/>
      <c r="H74" s="8"/>
      <c r="I74" s="8"/>
    </row>
    <row r="75" spans="3:9" x14ac:dyDescent="0.25">
      <c r="C75" s="207" t="s">
        <v>24</v>
      </c>
      <c r="D75" s="207"/>
      <c r="E75" s="207"/>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6" t="s">
        <v>12</v>
      </c>
      <c r="D81" s="77"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7" t="s">
        <v>27</v>
      </c>
      <c r="D83" s="12"/>
      <c r="E83" s="8"/>
      <c r="F83" s="8"/>
      <c r="G83" s="8"/>
      <c r="H83" s="8"/>
      <c r="I83" s="8"/>
    </row>
    <row r="84" spans="3:9" ht="15" customHeight="1" x14ac:dyDescent="0.25">
      <c r="C84" s="126" t="s">
        <v>12</v>
      </c>
      <c r="D84" s="130" t="s">
        <v>28</v>
      </c>
      <c r="F84" s="8"/>
      <c r="G84" s="8"/>
      <c r="H84" s="8"/>
      <c r="I84" s="8"/>
    </row>
    <row r="85" spans="3:9" ht="15" customHeight="1" x14ac:dyDescent="0.25">
      <c r="C85" s="126" t="s">
        <v>12</v>
      </c>
      <c r="D85" s="193" t="s">
        <v>29</v>
      </c>
      <c r="F85" s="8"/>
      <c r="G85" s="8"/>
      <c r="H85" s="8"/>
      <c r="I85" s="8"/>
    </row>
    <row r="86" spans="3:9" ht="15" customHeight="1" x14ac:dyDescent="0.25">
      <c r="C86" s="126"/>
      <c r="D86" s="193"/>
      <c r="F86" s="8"/>
      <c r="G86" s="8"/>
      <c r="H86" s="8"/>
      <c r="I86" s="8"/>
    </row>
    <row r="87" spans="3:9" ht="15" customHeight="1" x14ac:dyDescent="0.25">
      <c r="C87" s="8" t="s">
        <v>30</v>
      </c>
      <c r="D87" s="193"/>
      <c r="F87" s="8"/>
      <c r="G87" s="8"/>
      <c r="H87" s="8"/>
      <c r="I87" s="8"/>
    </row>
    <row r="88" spans="3:9" ht="15" customHeight="1" x14ac:dyDescent="0.25">
      <c r="C88" s="8"/>
      <c r="D88" s="193"/>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12" t="s">
        <v>36</v>
      </c>
      <c r="D95" s="113"/>
      <c r="E95" s="113"/>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3:AE32"/>
  <sheetViews>
    <sheetView showGridLines="0" zoomScaleNormal="100" workbookViewId="0">
      <selection activeCell="C33" sqref="C33"/>
    </sheetView>
  </sheetViews>
  <sheetFormatPr defaultRowHeight="11.5" x14ac:dyDescent="0.25"/>
  <cols>
    <col min="1" max="2" width="2.69921875" customWidth="1"/>
    <col min="3" max="3" width="5.69921875" customWidth="1"/>
    <col min="7" max="7" width="9.09765625" customWidth="1"/>
  </cols>
  <sheetData>
    <row r="3" spans="3:7" ht="20" x14ac:dyDescent="0.4">
      <c r="C3" s="128" t="s">
        <v>327</v>
      </c>
    </row>
    <row r="6" spans="3:7" x14ac:dyDescent="0.25">
      <c r="C6" t="s">
        <v>328</v>
      </c>
      <c r="G6" s="130" t="s">
        <v>28</v>
      </c>
    </row>
    <row r="8" spans="3:7" ht="13.5" x14ac:dyDescent="0.35">
      <c r="C8" t="s">
        <v>329</v>
      </c>
    </row>
    <row r="10" spans="3:7" x14ac:dyDescent="0.25">
      <c r="C10" t="s">
        <v>330</v>
      </c>
    </row>
    <row r="12" spans="3:7" ht="13.5" x14ac:dyDescent="0.35">
      <c r="C12" s="28" t="s">
        <v>331</v>
      </c>
      <c r="D12" s="184" t="s">
        <v>332</v>
      </c>
    </row>
    <row r="13" spans="3:7" ht="13.5" x14ac:dyDescent="0.35">
      <c r="C13" s="28" t="s">
        <v>333</v>
      </c>
      <c r="D13" s="184" t="s">
        <v>334</v>
      </c>
      <c r="F13" s="1"/>
    </row>
    <row r="15" spans="3:7"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7" spans="1:31" ht="13.5" x14ac:dyDescent="0.35">
      <c r="C17" s="28" t="s">
        <v>335</v>
      </c>
      <c r="D17" s="164"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$Q$68:$Q$97</v>
      </c>
      <c r="E17" s="165"/>
    </row>
    <row r="18" spans="1:31" ht="13.5" x14ac:dyDescent="0.35">
      <c r="C18" s="28" t="s">
        <v>336</v>
      </c>
      <c r="D18" s="164"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$T$68:$T$97</v>
      </c>
      <c r="E18" s="165"/>
    </row>
    <row r="19" spans="1:31" x14ac:dyDescent="0.25">
      <c r="C19" s="28"/>
    </row>
    <row r="20" spans="1:31" ht="13.5" x14ac:dyDescent="0.35">
      <c r="C20" t="s">
        <v>337</v>
      </c>
      <c r="G20" t="s">
        <v>338</v>
      </c>
      <c r="H20" s="166" t="str">
        <f>'General inputs'!I16</f>
        <v>2024-25</v>
      </c>
      <c r="J20" t="s">
        <v>339</v>
      </c>
      <c r="K20" s="167" t="str">
        <f>LEFT(H20,4)+'General inputs'!$H$38-1&amp;"-"&amp;RIGHT(H20,2)+'General inputs'!$H$38-1</f>
        <v>2053-54</v>
      </c>
    </row>
    <row r="21" spans="1:31" x14ac:dyDescent="0.25">
      <c r="C21" s="28"/>
    </row>
    <row r="22" spans="1:31" x14ac:dyDescent="0.25">
      <c r="C22" s="74" t="s">
        <v>340</v>
      </c>
    </row>
    <row r="23" spans="1:31" x14ac:dyDescent="0.25">
      <c r="C23" s="74"/>
      <c r="D23" s="74" t="s">
        <v>341</v>
      </c>
    </row>
    <row r="24" spans="1:31" x14ac:dyDescent="0.25">
      <c r="C24" s="74"/>
      <c r="D24" s="74"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25" spans="1:31" x14ac:dyDescent="0.25">
      <c r="C25" s="74"/>
      <c r="D25" s="74" t="s">
        <v>342</v>
      </c>
    </row>
    <row r="26" spans="1:31" x14ac:dyDescent="0.25">
      <c r="C26" s="74"/>
      <c r="D26" s="194" t="s">
        <v>343</v>
      </c>
    </row>
    <row r="27" spans="1:31" x14ac:dyDescent="0.25">
      <c r="C27" s="74"/>
      <c r="D27" s="194" t="s">
        <v>344</v>
      </c>
    </row>
    <row r="28" spans="1:31" x14ac:dyDescent="0.25">
      <c r="C28" s="74"/>
      <c r="D28" s="74" t="s">
        <v>345</v>
      </c>
    </row>
    <row r="29" spans="1:31" x14ac:dyDescent="0.25">
      <c r="C29" s="74"/>
      <c r="D29" s="194" t="s">
        <v>346</v>
      </c>
    </row>
    <row r="30" spans="1:31" x14ac:dyDescent="0.25">
      <c r="C30" s="74"/>
      <c r="D30" s="194" t="s">
        <v>347</v>
      </c>
    </row>
    <row r="32" spans="1:31" x14ac:dyDescent="0.25">
      <c r="A32" s="71"/>
      <c r="B32" s="71"/>
      <c r="C32" s="71" t="s">
        <v>348</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row>
  </sheetData>
  <hyperlinks>
    <hyperlink ref="G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R48" sqref="R48"/>
    </sheetView>
  </sheetViews>
  <sheetFormatPr defaultRowHeight="11.5" x14ac:dyDescent="0.25"/>
  <cols>
    <col min="1" max="2" width="2.69921875" customWidth="1"/>
    <col min="13" max="13" width="9.09765625" customWidth="1"/>
    <col min="16" max="16" width="9.09765625" customWidth="1"/>
  </cols>
  <sheetData>
    <row r="3" spans="1:30" ht="20" x14ac:dyDescent="0.4">
      <c r="C3" s="128" t="s">
        <v>349</v>
      </c>
      <c r="M3" s="130"/>
    </row>
    <row r="6" spans="1:30" x14ac:dyDescent="0.25">
      <c r="C6" t="s">
        <v>328</v>
      </c>
      <c r="G6" s="130" t="s">
        <v>28</v>
      </c>
    </row>
    <row r="8" spans="1:30" x14ac:dyDescent="0.25">
      <c r="C8" t="s">
        <v>350</v>
      </c>
    </row>
    <row r="10" spans="1:30" x14ac:dyDescent="0.25">
      <c r="C10" t="s">
        <v>351</v>
      </c>
      <c r="J10" s="167" t="str">
        <f>ADDRESS(ROW('MP Calculations'!$F$22),COLUMN('MP Calculations'!$F$22))</f>
        <v>$F$22</v>
      </c>
      <c r="K10" t="str">
        <f ca="1">"on the "&amp;MID(CELL("filename",'MP Calculations'!$A$1),FIND("]",CELL("filename",'MP Calculations'!$A$1))+1,255)&amp;" worksheet."</f>
        <v>on the MP Calculations worksheet.</v>
      </c>
    </row>
    <row r="12" spans="1:30" x14ac:dyDescent="0.25">
      <c r="C12" s="75" t="s">
        <v>352</v>
      </c>
    </row>
    <row r="13" spans="1:30" x14ac:dyDescent="0.25">
      <c r="D13" s="185" t="s">
        <v>353</v>
      </c>
    </row>
    <row r="14" spans="1:30" x14ac:dyDescent="0.25">
      <c r="D14" s="74"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16" spans="1:30" x14ac:dyDescent="0.25">
      <c r="A16" s="71"/>
      <c r="B16" s="71"/>
      <c r="C16" s="71" t="s">
        <v>348</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8" spans="4:4" x14ac:dyDescent="0.25">
      <c r="D18" s="74"/>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28" t="s">
        <v>354</v>
      </c>
      <c r="M3" s="130"/>
    </row>
    <row r="6" spans="1:30" x14ac:dyDescent="0.25">
      <c r="C6" t="s">
        <v>328</v>
      </c>
      <c r="G6" s="192" t="s">
        <v>29</v>
      </c>
    </row>
    <row r="8" spans="1:30" x14ac:dyDescent="0.25">
      <c r="C8" t="s">
        <v>355</v>
      </c>
    </row>
    <row r="10" spans="1:30" x14ac:dyDescent="0.25">
      <c r="C10" t="s">
        <v>351</v>
      </c>
      <c r="J10" s="167" t="str">
        <f>ADDRESS(ROW('MP Calculations'!$G$22),COLUMN('MP Calculations'!$G$22))</f>
        <v>$G$22</v>
      </c>
      <c r="K10" t="str">
        <f ca="1">"on the "&amp;MID(CELL("filename",'MP Calculations'!$A$1),FIND("]",CELL("filename",'MP Calculations'!$A$1))+1,255)&amp;" worksheet."</f>
        <v>on the MP Calculations worksheet.</v>
      </c>
    </row>
    <row r="12" spans="1:30" x14ac:dyDescent="0.25">
      <c r="C12" s="75" t="s">
        <v>352</v>
      </c>
    </row>
    <row r="13" spans="1:30" x14ac:dyDescent="0.25">
      <c r="D13" s="74" t="s">
        <v>356</v>
      </c>
    </row>
    <row r="14" spans="1:30" x14ac:dyDescent="0.25">
      <c r="D14" s="74"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16" spans="1:30" x14ac:dyDescent="0.25">
      <c r="A16" s="71"/>
      <c r="B16" s="71"/>
      <c r="C16" s="71" t="s">
        <v>348</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8" spans="4:4" x14ac:dyDescent="0.25">
      <c r="D18" s="74"/>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9" t="s">
        <v>357</v>
      </c>
    </row>
    <row r="6" spans="3:7" x14ac:dyDescent="0.25">
      <c r="C6" t="s">
        <v>328</v>
      </c>
      <c r="G6" s="130" t="s">
        <v>28</v>
      </c>
    </row>
    <row r="8" spans="3:7" x14ac:dyDescent="0.25">
      <c r="C8" s="6" t="s">
        <v>358</v>
      </c>
      <c r="G8" s="130"/>
    </row>
    <row r="10" spans="3:7" x14ac:dyDescent="0.25">
      <c r="C10" t="s">
        <v>359</v>
      </c>
      <c r="D10" t="s">
        <v>360</v>
      </c>
    </row>
    <row r="12" spans="3:7" x14ac:dyDescent="0.25">
      <c r="C12" t="s">
        <v>361</v>
      </c>
      <c r="D12" t="s">
        <v>362</v>
      </c>
    </row>
    <row r="14" spans="3:7" x14ac:dyDescent="0.25">
      <c r="C14" t="s">
        <v>363</v>
      </c>
      <c r="D14" t="s">
        <v>364</v>
      </c>
    </row>
    <row r="16" spans="3:7" x14ac:dyDescent="0.25">
      <c r="C16" t="s">
        <v>365</v>
      </c>
      <c r="D16" t="s">
        <v>366</v>
      </c>
    </row>
    <row r="18" spans="3:4" x14ac:dyDescent="0.25">
      <c r="C18" t="s">
        <v>367</v>
      </c>
      <c r="D18" t="s">
        <v>368</v>
      </c>
    </row>
    <row r="20" spans="3:4" x14ac:dyDescent="0.25">
      <c r="C20" t="s">
        <v>369</v>
      </c>
      <c r="D20" t="s">
        <v>370</v>
      </c>
    </row>
    <row r="22" spans="3:4" x14ac:dyDescent="0.25">
      <c r="D22" t="s">
        <v>81</v>
      </c>
    </row>
    <row r="24" spans="3:4" x14ac:dyDescent="0.25">
      <c r="C24" s="6" t="s">
        <v>371</v>
      </c>
    </row>
    <row r="26" spans="3:4" x14ac:dyDescent="0.25">
      <c r="C26" t="s">
        <v>372</v>
      </c>
    </row>
    <row r="28" spans="3:4" x14ac:dyDescent="0.25">
      <c r="C28" t="s">
        <v>373</v>
      </c>
      <c r="D28" t="s">
        <v>374</v>
      </c>
    </row>
    <row r="30" spans="3:4" x14ac:dyDescent="0.25">
      <c r="C30" t="s">
        <v>375</v>
      </c>
      <c r="D30" t="s">
        <v>376</v>
      </c>
    </row>
    <row r="32" spans="3:4" x14ac:dyDescent="0.25">
      <c r="C32" t="s">
        <v>377</v>
      </c>
      <c r="D32" t="s">
        <v>378</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87" t="s">
        <v>48</v>
      </c>
      <c r="D6" s="187" t="s">
        <v>49</v>
      </c>
      <c r="E6" s="187" t="s">
        <v>50</v>
      </c>
      <c r="F6" s="190" t="s">
        <v>51</v>
      </c>
      <c r="G6" s="191">
        <v>43678</v>
      </c>
    </row>
    <row r="7" spans="3:7" ht="23" x14ac:dyDescent="0.25">
      <c r="C7" s="187" t="s">
        <v>48</v>
      </c>
      <c r="D7" s="187" t="s">
        <v>52</v>
      </c>
      <c r="E7" s="187" t="s">
        <v>53</v>
      </c>
      <c r="F7" s="190" t="s">
        <v>51</v>
      </c>
      <c r="G7" s="191">
        <v>43678</v>
      </c>
    </row>
    <row r="8" spans="3:7" ht="46" x14ac:dyDescent="0.25">
      <c r="C8" s="189" t="s">
        <v>54</v>
      </c>
      <c r="D8" s="189" t="s">
        <v>55</v>
      </c>
      <c r="E8" s="189" t="s">
        <v>56</v>
      </c>
      <c r="F8" s="190" t="s">
        <v>51</v>
      </c>
      <c r="G8" s="191">
        <v>43678</v>
      </c>
    </row>
    <row r="9" spans="3:7" x14ac:dyDescent="0.25">
      <c r="C9" s="188"/>
      <c r="D9" s="188"/>
      <c r="E9" s="188"/>
      <c r="F9" s="190"/>
      <c r="G9" s="191"/>
    </row>
    <row r="10" spans="3:7" x14ac:dyDescent="0.25">
      <c r="C10" s="188"/>
      <c r="D10" s="188"/>
      <c r="E10" s="188"/>
      <c r="F10" s="190"/>
      <c r="G10" s="191"/>
    </row>
    <row r="11" spans="3:7" x14ac:dyDescent="0.25">
      <c r="C11" s="188"/>
      <c r="D11" s="188"/>
      <c r="E11" s="188"/>
      <c r="F11" s="190"/>
      <c r="G11" s="191"/>
    </row>
    <row r="12" spans="3:7" x14ac:dyDescent="0.25">
      <c r="C12" s="188"/>
      <c r="D12" s="188"/>
      <c r="E12" s="188"/>
      <c r="F12" s="190"/>
      <c r="G12" s="191"/>
    </row>
    <row r="13" spans="3:7" x14ac:dyDescent="0.25">
      <c r="C13" s="188"/>
      <c r="D13" s="188"/>
      <c r="E13" s="188"/>
      <c r="F13" s="190"/>
      <c r="G13" s="191"/>
    </row>
    <row r="14" spans="3:7" x14ac:dyDescent="0.25">
      <c r="C14" s="188"/>
      <c r="D14" s="188"/>
      <c r="E14" s="188"/>
      <c r="F14" s="190"/>
      <c r="G14" s="191"/>
    </row>
    <row r="15" spans="3:7" x14ac:dyDescent="0.25">
      <c r="C15" s="188"/>
      <c r="D15" s="188"/>
      <c r="E15" s="188"/>
      <c r="F15" s="190"/>
      <c r="G15" s="191"/>
    </row>
    <row r="16" spans="3:7" x14ac:dyDescent="0.25">
      <c r="C16" s="188"/>
      <c r="D16" s="188"/>
      <c r="E16" s="188"/>
      <c r="F16" s="190"/>
      <c r="G16" s="191"/>
    </row>
    <row r="17" spans="3:7" x14ac:dyDescent="0.25">
      <c r="C17" s="188"/>
      <c r="D17" s="188"/>
      <c r="E17" s="188"/>
      <c r="F17" s="190"/>
      <c r="G17" s="191"/>
    </row>
    <row r="18" spans="3:7" x14ac:dyDescent="0.25">
      <c r="C18" s="188"/>
      <c r="D18" s="188"/>
      <c r="E18" s="188"/>
      <c r="F18" s="190"/>
      <c r="G18" s="191"/>
    </row>
    <row r="19" spans="3:7" x14ac:dyDescent="0.25">
      <c r="C19" s="188"/>
      <c r="D19" s="188"/>
      <c r="E19" s="188"/>
      <c r="F19" s="190"/>
      <c r="G19" s="191"/>
    </row>
    <row r="20" spans="3:7" x14ac:dyDescent="0.25">
      <c r="C20" s="188"/>
      <c r="D20" s="188"/>
      <c r="E20" s="188"/>
      <c r="F20" s="190"/>
      <c r="G20" s="191"/>
    </row>
    <row r="21" spans="3:7" x14ac:dyDescent="0.25">
      <c r="C21" s="188"/>
      <c r="D21" s="188"/>
      <c r="E21" s="188"/>
      <c r="F21" s="190"/>
      <c r="G21" s="191"/>
    </row>
    <row r="22" spans="3:7" x14ac:dyDescent="0.25">
      <c r="C22" s="188"/>
      <c r="D22" s="188"/>
      <c r="E22" s="188"/>
      <c r="F22" s="190"/>
      <c r="G22" s="191"/>
    </row>
    <row r="23" spans="3:7" x14ac:dyDescent="0.25">
      <c r="C23" s="188"/>
      <c r="D23" s="188"/>
      <c r="E23" s="188"/>
      <c r="F23" s="190"/>
      <c r="G23" s="19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G38" sqref="G38"/>
    </sheetView>
  </sheetViews>
  <sheetFormatPr defaultRowHeight="11.5" x14ac:dyDescent="0.25"/>
  <cols>
    <col min="1" max="3" width="2.69921875" customWidth="1"/>
    <col min="4" max="4" width="23.8984375" customWidth="1"/>
    <col min="5" max="5" width="8" customWidth="1"/>
    <col min="6" max="6" width="2.69921875" customWidth="1"/>
    <col min="7" max="7" width="24.59765625" customWidth="1"/>
    <col min="9" max="9" width="18.0976562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80" t="s">
        <v>57</v>
      </c>
    </row>
    <row r="5" spans="1:17" x14ac:dyDescent="0.25">
      <c r="D5" t="s">
        <v>58</v>
      </c>
      <c r="Q5" s="193" t="s">
        <v>29</v>
      </c>
    </row>
    <row r="6" spans="1:17" x14ac:dyDescent="0.25">
      <c r="Q6" s="193"/>
    </row>
    <row r="8" spans="1:17" x14ac:dyDescent="0.25">
      <c r="D8" s="1" t="str">
        <f>"The maximum price for the new development area '"&amp;'General inputs'!H7&amp;"' is:"</f>
        <v>The maximum price for the new development area 'Nothern Region Water DSP' is:</v>
      </c>
      <c r="J8" s="73">
        <f>G19</f>
        <v>2615.7648227765312</v>
      </c>
      <c r="K8" t="str">
        <f>"per ET ($"&amp;'General inputs'!$I$40&amp;")."</f>
        <v>per ET ($2024-25).</v>
      </c>
    </row>
    <row r="10" spans="1:17" x14ac:dyDescent="0.25">
      <c r="A10" s="110"/>
      <c r="B10" s="110"/>
      <c r="C10" s="1"/>
      <c r="D10" s="111" t="s">
        <v>59</v>
      </c>
      <c r="E10" s="1"/>
      <c r="F10" s="1"/>
      <c r="G10" s="1"/>
      <c r="H10" s="1"/>
      <c r="J10" s="169">
        <f>IF($J$8&lt;=0,0,IF('General inputs'!$H$42='General inputs'!$L$37,'MP Calculations'!F22,IF('General inputs'!$H$42='General inputs'!$L$38,'MP Calculations'!F22*1000,'MP Calculations'!F22*1000000)))</f>
        <v>5975</v>
      </c>
      <c r="K10" s="1" t="s">
        <v>60</v>
      </c>
      <c r="L10" s="1"/>
      <c r="M10" s="1"/>
    </row>
    <row r="12" spans="1:17" x14ac:dyDescent="0.25">
      <c r="G12" s="1"/>
    </row>
    <row r="13" spans="1:17" x14ac:dyDescent="0.25">
      <c r="D13" s="111" t="s">
        <v>61</v>
      </c>
      <c r="G13" s="1"/>
    </row>
    <row r="14" spans="1:17" x14ac:dyDescent="0.25">
      <c r="G14" s="1"/>
    </row>
    <row r="15" spans="1:17" x14ac:dyDescent="0.25">
      <c r="G15" s="1"/>
    </row>
    <row r="17" spans="4:21" x14ac:dyDescent="0.25">
      <c r="D17" t="str">
        <f>"in $, $"&amp;'General inputs'!$I$40&amp;", where:"</f>
        <v>in $, $2024-25, where:</v>
      </c>
    </row>
    <row r="19" spans="4:21" x14ac:dyDescent="0.25">
      <c r="E19" t="s">
        <v>62</v>
      </c>
      <c r="F19" s="37" t="s">
        <v>63</v>
      </c>
      <c r="G19" s="129">
        <f>IF('General inputs'!$H$42='General inputs'!$L$37,'MP Calculations'!C22,IF('General inputs'!$H$42='General inputs'!$L$38,'MP Calculations'!C22*1000,'MP Calculations'!C22*1000000))</f>
        <v>2615.7648227765312</v>
      </c>
      <c r="H19" s="37" t="s">
        <v>63</v>
      </c>
      <c r="I19" s="183" t="s">
        <v>64</v>
      </c>
      <c r="J19" s="1"/>
      <c r="K19" s="1"/>
      <c r="L19" s="1"/>
      <c r="M19" s="1"/>
      <c r="N19" s="1"/>
      <c r="O19" s="1"/>
      <c r="P19" s="1"/>
      <c r="Q19" s="1"/>
      <c r="R19" s="1"/>
      <c r="S19" s="1"/>
      <c r="T19" s="1"/>
      <c r="U19" s="1"/>
    </row>
    <row r="20" spans="4:21" ht="13.5" x14ac:dyDescent="0.35">
      <c r="E20" t="s">
        <v>65</v>
      </c>
      <c r="F20" s="37" t="s">
        <v>63</v>
      </c>
      <c r="G20" s="129">
        <f>IF('General inputs'!$H$42='General inputs'!$L$37,'MP Calculations'!H20,IF('General inputs'!$H$42='General inputs'!$L$38,'MP Calculations'!H20*1000,'MP Calculations'!H20*1000000))</f>
        <v>78456438.743314505</v>
      </c>
      <c r="H20" s="37" t="s">
        <v>63</v>
      </c>
      <c r="I20" s="1" t="s">
        <v>66</v>
      </c>
      <c r="J20" s="1"/>
      <c r="K20" s="1"/>
      <c r="L20" s="1"/>
      <c r="M20" s="1"/>
      <c r="N20" s="1"/>
      <c r="O20" s="1"/>
      <c r="P20" s="1"/>
      <c r="Q20" s="1"/>
      <c r="R20" s="1"/>
      <c r="S20" s="1"/>
      <c r="T20" s="1"/>
      <c r="U20" s="1"/>
    </row>
    <row r="21" spans="4:21" ht="13.5" x14ac:dyDescent="0.35">
      <c r="E21" t="s">
        <v>67</v>
      </c>
      <c r="F21" s="37" t="s">
        <v>63</v>
      </c>
      <c r="G21" s="129">
        <f>IF('General inputs'!$H$42='General inputs'!$L$37,SUM('MP Calculations'!I20:K20),IF('General inputs'!$H$42='General inputs'!$L$38,SUM('MP Calculations'!I20:K20)*1000,SUM('MP Calculations'!I20:K20)*1000000))</f>
        <v>77850201.966484442</v>
      </c>
      <c r="H21" s="37" t="s">
        <v>63</v>
      </c>
      <c r="I21" s="1" t="s">
        <v>68</v>
      </c>
      <c r="J21" s="1"/>
      <c r="K21" s="1"/>
      <c r="L21" s="1"/>
      <c r="M21" s="1"/>
      <c r="N21" s="1"/>
      <c r="O21" s="1"/>
      <c r="P21" s="1"/>
      <c r="Q21" s="1"/>
      <c r="R21" s="1"/>
      <c r="S21" s="1"/>
      <c r="T21" s="1"/>
      <c r="U21" s="1"/>
    </row>
    <row r="22" spans="4:21" ht="13.5" x14ac:dyDescent="0.35">
      <c r="E22" t="s">
        <v>69</v>
      </c>
      <c r="F22" s="37" t="s">
        <v>63</v>
      </c>
      <c r="G22" s="72">
        <f>'MP Calculations'!H21</f>
        <v>81357.47</v>
      </c>
      <c r="H22" s="37" t="s">
        <v>63</v>
      </c>
      <c r="I22" s="181" t="s">
        <v>70</v>
      </c>
      <c r="J22" s="182"/>
      <c r="K22" s="182"/>
      <c r="L22" s="182"/>
      <c r="M22" s="182"/>
      <c r="N22" s="182"/>
      <c r="O22" s="182"/>
      <c r="P22" s="182"/>
      <c r="Q22" s="182"/>
      <c r="R22" s="182"/>
      <c r="S22" s="182"/>
      <c r="T22" s="182"/>
      <c r="U22" s="182"/>
    </row>
    <row r="23" spans="4:21" ht="13.5" x14ac:dyDescent="0.35">
      <c r="E23" t="s">
        <v>71</v>
      </c>
      <c r="F23" s="37" t="s">
        <v>63</v>
      </c>
      <c r="G23" s="72">
        <f>'MP Calculations'!J21</f>
        <v>77380.842837552074</v>
      </c>
      <c r="H23" s="37" t="s">
        <v>63</v>
      </c>
      <c r="I23" s="181" t="s">
        <v>72</v>
      </c>
      <c r="J23" s="182"/>
      <c r="K23" s="182"/>
      <c r="L23" s="182"/>
      <c r="M23" s="182"/>
      <c r="N23" s="182"/>
      <c r="O23" s="182"/>
      <c r="P23" s="182"/>
      <c r="Q23" s="182"/>
      <c r="R23" s="182"/>
      <c r="S23" s="182"/>
      <c r="T23" s="182"/>
      <c r="U23" s="182"/>
    </row>
    <row r="24" spans="4:21" ht="13.5" x14ac:dyDescent="0.35">
      <c r="E24" t="s">
        <v>73</v>
      </c>
      <c r="F24" s="37" t="s">
        <v>63</v>
      </c>
      <c r="G24" s="72">
        <f>'MP Calculations'!L21</f>
        <v>39561.761366048129</v>
      </c>
      <c r="H24" s="37" t="s">
        <v>63</v>
      </c>
      <c r="I24" s="181" t="s">
        <v>74</v>
      </c>
      <c r="J24" s="182"/>
      <c r="K24" s="182"/>
      <c r="L24" s="182"/>
      <c r="M24" s="182"/>
      <c r="N24" s="182"/>
      <c r="O24" s="182"/>
      <c r="P24" s="182"/>
      <c r="Q24" s="182"/>
      <c r="R24" s="182"/>
      <c r="S24" s="182"/>
      <c r="T24" s="182"/>
      <c r="U24" s="182"/>
    </row>
    <row r="25" spans="4:21" ht="13.5" x14ac:dyDescent="0.35">
      <c r="E25" t="s">
        <v>75</v>
      </c>
      <c r="F25" s="37" t="s">
        <v>63</v>
      </c>
      <c r="G25" s="129">
        <f>'MP Calculations'!R29</f>
        <v>378870837.63228053</v>
      </c>
      <c r="H25" s="37" t="s">
        <v>63</v>
      </c>
      <c r="I25" s="1" t="s">
        <v>76</v>
      </c>
      <c r="J25" s="1"/>
      <c r="K25" s="1"/>
      <c r="L25" s="1"/>
      <c r="M25" s="1"/>
      <c r="N25" s="1"/>
      <c r="O25" s="1"/>
      <c r="P25" s="1"/>
      <c r="Q25" s="1"/>
      <c r="R25" s="1"/>
      <c r="S25" s="1"/>
      <c r="T25" s="1"/>
      <c r="U25" s="1"/>
    </row>
    <row r="26" spans="4:21" ht="13.5" x14ac:dyDescent="0.35">
      <c r="E26" t="s">
        <v>77</v>
      </c>
      <c r="F26" s="37" t="s">
        <v>63</v>
      </c>
      <c r="G26" s="129">
        <f>'MP Calculations'!U29</f>
        <v>168020776.47275209</v>
      </c>
      <c r="H26" s="37" t="s">
        <v>63</v>
      </c>
      <c r="I26" s="1" t="s">
        <v>78</v>
      </c>
      <c r="J26" s="1"/>
      <c r="K26" s="1"/>
      <c r="L26" s="1"/>
      <c r="M26" s="1"/>
      <c r="N26" s="1"/>
      <c r="O26" s="1"/>
      <c r="P26" s="1"/>
      <c r="Q26" s="1"/>
      <c r="R26" s="1"/>
      <c r="S26" s="1"/>
      <c r="T26" s="1"/>
      <c r="U26" s="1"/>
    </row>
    <row r="27" spans="4:21" x14ac:dyDescent="0.25">
      <c r="E27" t="s">
        <v>79</v>
      </c>
      <c r="F27" s="37" t="s">
        <v>63</v>
      </c>
      <c r="G27" s="28" t="str">
        <f>INDEX('MP Calculations'!$D$39:$D$129,MATCH('General inputs'!$H$38-1,'MP Calculations'!C39:C129))</f>
        <v>2053-54</v>
      </c>
      <c r="H27" s="37"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Normal="100" workbookViewId="0">
      <selection activeCell="F22" sqref="F22"/>
    </sheetView>
  </sheetViews>
  <sheetFormatPr defaultRowHeight="11.5" x14ac:dyDescent="0.25"/>
  <cols>
    <col min="1" max="2" width="2.69921875" customWidth="1"/>
    <col min="3" max="3" width="20.09765625" customWidth="1"/>
    <col min="4" max="4" width="21.59765625" customWidth="1"/>
    <col min="5" max="5" width="28.0976562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9" t="s">
        <v>82</v>
      </c>
    </row>
    <row r="6" spans="1:11" ht="15.5" x14ac:dyDescent="0.35">
      <c r="C6" s="2" t="s">
        <v>83</v>
      </c>
      <c r="E6" s="43"/>
    </row>
    <row r="7" spans="1:11" x14ac:dyDescent="0.25">
      <c r="B7" s="53"/>
      <c r="C7" s="42"/>
      <c r="D7" s="42"/>
      <c r="E7" s="42"/>
      <c r="F7" s="42"/>
      <c r="G7" s="42"/>
      <c r="H7" s="42"/>
      <c r="I7" s="42"/>
      <c r="J7" s="42"/>
      <c r="K7" s="54"/>
    </row>
    <row r="8" spans="1:11" x14ac:dyDescent="0.25">
      <c r="B8" s="55"/>
      <c r="J8" s="28" t="s">
        <v>84</v>
      </c>
      <c r="K8" s="56"/>
    </row>
    <row r="9" spans="1:11" x14ac:dyDescent="0.25">
      <c r="A9" s="61">
        <v>1</v>
      </c>
      <c r="B9" s="55"/>
      <c r="C9" t="str">
        <f>"Table "&amp;A9&amp;":  Calculation of maximum price ("&amp;'General inputs'!H42&amp;", $"&amp;'General inputs'!I40&amp;")"</f>
        <v>Table 1:  Calculation of maximum price ($, $2024-25)</v>
      </c>
      <c r="J9">
        <f>ROW(C17)</f>
        <v>17</v>
      </c>
      <c r="K9" s="56"/>
    </row>
    <row r="10" spans="1:11" x14ac:dyDescent="0.25">
      <c r="A10" s="79">
        <f>A9+1</f>
        <v>2</v>
      </c>
      <c r="B10" s="55"/>
      <c r="C10" t="str">
        <f>"Table "&amp;A10&amp;":  Key variables used in maximum price calculation ("&amp;'General inputs'!H42&amp;", $"&amp;'General inputs'!I40&amp;")"</f>
        <v>Table 2:  Key variables used in maximum price calculation ($, $2024-25)</v>
      </c>
      <c r="J10">
        <f>ROW(C26)</f>
        <v>26</v>
      </c>
      <c r="K10" s="56"/>
    </row>
    <row r="11" spans="1:11" x14ac:dyDescent="0.25">
      <c r="A11" s="79">
        <f>A10+1</f>
        <v>3</v>
      </c>
      <c r="B11" s="55"/>
      <c r="C11" t="str">
        <f>"Table "&amp;A11&amp;":  Annual calculation over analysis horizon ("&amp;'General inputs'!H42&amp;", $"&amp;'General inputs'!I40&amp;")"</f>
        <v>Table 3:  Annual calculation over analysis horizon ($, $2024-25)</v>
      </c>
      <c r="J11">
        <f>ROW(C35)</f>
        <v>35</v>
      </c>
      <c r="K11" s="56"/>
    </row>
    <row r="12" spans="1:11" x14ac:dyDescent="0.25">
      <c r="B12" s="57"/>
      <c r="C12" s="43"/>
      <c r="D12" s="43"/>
      <c r="E12" s="43"/>
      <c r="F12" s="43"/>
      <c r="G12" s="43"/>
      <c r="H12" s="43"/>
      <c r="I12" s="43"/>
      <c r="J12" s="43"/>
      <c r="K12" s="58"/>
    </row>
    <row r="13" spans="1:11" x14ac:dyDescent="0.25">
      <c r="E13" s="42"/>
    </row>
    <row r="14" spans="1:11" hidden="1" x14ac:dyDescent="0.25">
      <c r="B14" s="133" t="str">
        <f>"Note:  an input is required in "&amp;ADDRESS(ROW($G$22),COLUMN($G$22))&amp;" to incorporate the Headwork costs per ET into the maximum price."</f>
        <v>Note:  an input is required in $G$22 to incorporate the Headwork costs per ET into the maximum price.</v>
      </c>
    </row>
    <row r="15" spans="1:11" hidden="1" x14ac:dyDescent="0.25">
      <c r="B15" s="133" t="str">
        <f>"Note:  an input is required in "&amp;ADDRESS(ROW($F$22),COLUMN($F$22))&amp;" to incorporate the Scheme cost allocation per ET into the maximum price."</f>
        <v>Note:  an input is required in $F$22 to incorporate the Scheme cost allocation per ET into the maximum price.</v>
      </c>
    </row>
    <row r="17" spans="2:22" ht="18" x14ac:dyDescent="0.4">
      <c r="C17" s="78" t="str">
        <f>C9</f>
        <v>Table 1:  Calculation of maximum price ($, $2024-25)</v>
      </c>
      <c r="E17" s="43"/>
    </row>
    <row r="18" spans="2:22" x14ac:dyDescent="0.25">
      <c r="B18" s="53"/>
      <c r="C18" s="147"/>
      <c r="D18" s="131"/>
      <c r="E18" s="131"/>
      <c r="F18" s="147"/>
      <c r="G18" s="147"/>
      <c r="H18" s="147"/>
      <c r="I18" s="131"/>
      <c r="J18" s="147"/>
      <c r="K18" s="147"/>
      <c r="L18" s="42"/>
      <c r="M18" s="54"/>
    </row>
    <row r="19" spans="2:22" ht="46" x14ac:dyDescent="0.25">
      <c r="B19" s="55"/>
      <c r="C19" s="48" t="s">
        <v>85</v>
      </c>
      <c r="F19" s="154" t="s">
        <v>86</v>
      </c>
      <c r="G19" s="154" t="s">
        <v>87</v>
      </c>
      <c r="H19" s="153" t="s">
        <v>88</v>
      </c>
      <c r="I19" s="155"/>
      <c r="J19" s="153" t="s">
        <v>89</v>
      </c>
      <c r="K19" s="153" t="s">
        <v>90</v>
      </c>
      <c r="L19" s="153" t="s">
        <v>91</v>
      </c>
      <c r="M19" s="56"/>
    </row>
    <row r="20" spans="2:22" x14ac:dyDescent="0.25">
      <c r="B20" s="55"/>
      <c r="E20" s="6" t="s">
        <v>92</v>
      </c>
      <c r="H20" s="156">
        <f>K29</f>
        <v>78456438.743314505</v>
      </c>
      <c r="I20" s="158"/>
      <c r="J20" s="159">
        <f>M29</f>
        <v>64168852.011552371</v>
      </c>
      <c r="K20" s="159">
        <f>O29</f>
        <v>13681349.954932071</v>
      </c>
      <c r="L20" s="156">
        <f>R29-U29</f>
        <v>210850061.15952843</v>
      </c>
      <c r="M20" s="56"/>
    </row>
    <row r="21" spans="2:22" x14ac:dyDescent="0.25">
      <c r="B21" s="55"/>
      <c r="E21" s="6" t="s">
        <v>93</v>
      </c>
      <c r="F21" s="43"/>
      <c r="H21" s="156">
        <f>F29</f>
        <v>81357.47</v>
      </c>
      <c r="I21" s="158"/>
      <c r="J21" s="159">
        <f>G29</f>
        <v>77380.842837552074</v>
      </c>
      <c r="K21" s="159">
        <f>G29</f>
        <v>77380.842837552074</v>
      </c>
      <c r="L21" s="156">
        <f>H29</f>
        <v>39561.761366048129</v>
      </c>
      <c r="M21" s="56"/>
    </row>
    <row r="22" spans="2:22" ht="12" customHeight="1" x14ac:dyDescent="0.25">
      <c r="B22" s="55"/>
      <c r="C22" s="80">
        <f>IF(SUM(F22:K22,-L22)&lt;0,0,SUM(F22:K22,-L22))</f>
        <v>2615.7648227765312</v>
      </c>
      <c r="E22" s="6" t="s">
        <v>94</v>
      </c>
      <c r="F22" s="206">
        <v>5975</v>
      </c>
      <c r="G22" s="157"/>
      <c r="H22" s="83">
        <f>H20/H21</f>
        <v>964.34216481061299</v>
      </c>
      <c r="I22" s="161"/>
      <c r="J22" s="160">
        <f>J20/J21</f>
        <v>829.26018454288442</v>
      </c>
      <c r="K22" s="160">
        <f>K20/K21</f>
        <v>176.80538817151088</v>
      </c>
      <c r="L22" s="83">
        <f>L20/L21</f>
        <v>5329.6429147484769</v>
      </c>
      <c r="M22" s="204"/>
      <c r="N22" s="72">
        <f>SUM(H22:K22)</f>
        <v>1970.4077375250083</v>
      </c>
      <c r="O22">
        <v>25</v>
      </c>
    </row>
    <row r="23" spans="2:22" x14ac:dyDescent="0.25">
      <c r="B23" s="57"/>
      <c r="C23" s="60"/>
      <c r="D23" s="43"/>
      <c r="E23" s="43"/>
      <c r="F23" s="43"/>
      <c r="G23" s="43"/>
      <c r="H23" s="43"/>
      <c r="I23" s="43"/>
      <c r="J23" s="43"/>
      <c r="K23" s="43"/>
      <c r="L23" s="43"/>
      <c r="M23" s="58"/>
      <c r="N23">
        <v>5630</v>
      </c>
      <c r="O23">
        <v>75</v>
      </c>
    </row>
    <row r="24" spans="2:22" x14ac:dyDescent="0.25">
      <c r="E24" s="42"/>
      <c r="N24" s="72">
        <f>SUM(N23+N22)</f>
        <v>7600.4077375250081</v>
      </c>
    </row>
    <row r="25" spans="2:22" x14ac:dyDescent="0.25">
      <c r="C25" s="41"/>
      <c r="D25" s="52"/>
      <c r="N25" s="72">
        <f>N24-L22</f>
        <v>2270.7648227765312</v>
      </c>
    </row>
    <row r="26" spans="2:22" ht="18" x14ac:dyDescent="0.4">
      <c r="C26" s="78" t="str">
        <f>C10</f>
        <v>Table 2:  Key variables used in maximum price calculation ($, $2024-25)</v>
      </c>
      <c r="D26" s="52"/>
    </row>
    <row r="27" spans="2:22" ht="18" x14ac:dyDescent="0.4">
      <c r="B27" s="53"/>
      <c r="C27" s="81"/>
      <c r="D27" s="82"/>
      <c r="E27" s="42"/>
      <c r="F27" s="42"/>
      <c r="G27" s="42"/>
      <c r="H27" s="42"/>
      <c r="I27" s="42"/>
      <c r="J27" s="42"/>
      <c r="K27" s="42"/>
      <c r="L27" s="42"/>
      <c r="M27" s="42"/>
      <c r="N27" s="42"/>
      <c r="O27" s="42"/>
      <c r="P27" s="42"/>
      <c r="Q27" s="42"/>
      <c r="R27" s="42"/>
      <c r="S27" s="42"/>
      <c r="T27" s="42"/>
      <c r="U27" s="42"/>
      <c r="V27" s="54"/>
    </row>
    <row r="28" spans="2:22" ht="92" x14ac:dyDescent="0.25">
      <c r="B28" s="55"/>
      <c r="E28" s="162" t="s">
        <v>95</v>
      </c>
      <c r="F28" s="162" t="s">
        <v>96</v>
      </c>
      <c r="G28" s="162" t="s">
        <v>97</v>
      </c>
      <c r="H28" s="162" t="s">
        <v>98</v>
      </c>
      <c r="I28" s="163"/>
      <c r="J28" s="163"/>
      <c r="K28" s="162" t="s">
        <v>99</v>
      </c>
      <c r="L28" s="163"/>
      <c r="M28" s="162" t="s">
        <v>100</v>
      </c>
      <c r="N28" s="163"/>
      <c r="O28" s="162" t="s">
        <v>101</v>
      </c>
      <c r="P28" s="163"/>
      <c r="Q28" s="163"/>
      <c r="R28" s="162" t="s">
        <v>102</v>
      </c>
      <c r="U28" s="162" t="s">
        <v>103</v>
      </c>
      <c r="V28" s="56"/>
    </row>
    <row r="29" spans="2:22" x14ac:dyDescent="0.25">
      <c r="B29" s="55"/>
      <c r="E29" s="145">
        <f>SUM(E39:E129)</f>
        <v>81357.47</v>
      </c>
      <c r="F29" s="83">
        <f t="shared" ref="F29:H29" si="0">SUM(F39:F129)</f>
        <v>81357.47</v>
      </c>
      <c r="G29" s="83">
        <f t="shared" si="0"/>
        <v>77380.842837552074</v>
      </c>
      <c r="H29" s="80">
        <f t="shared" si="0"/>
        <v>39561.761366048129</v>
      </c>
      <c r="K29" s="83">
        <f>K39</f>
        <v>78456438.743314505</v>
      </c>
      <c r="M29" s="83">
        <f>SUM(M39:M129)</f>
        <v>64168852.011552371</v>
      </c>
      <c r="O29" s="83">
        <f>SUM(O39:O129)</f>
        <v>13681349.954932071</v>
      </c>
      <c r="R29" s="83">
        <f>SUM(R39:R129)</f>
        <v>378870837.63228053</v>
      </c>
      <c r="U29" s="83">
        <f>SUM(U39:U129)</f>
        <v>168020776.47275209</v>
      </c>
      <c r="V29" s="56"/>
    </row>
    <row r="30" spans="2:22" x14ac:dyDescent="0.25">
      <c r="B30" s="57"/>
      <c r="C30" s="43"/>
      <c r="D30" s="43"/>
      <c r="E30" s="43"/>
      <c r="F30" s="43"/>
      <c r="G30" s="43"/>
      <c r="H30" s="43"/>
      <c r="I30" s="43"/>
      <c r="J30" s="43"/>
      <c r="K30" s="43"/>
      <c r="L30" s="43"/>
      <c r="M30" s="43"/>
      <c r="N30" s="43"/>
      <c r="O30" s="43"/>
      <c r="P30" s="43"/>
      <c r="Q30" s="43"/>
      <c r="R30" s="43"/>
      <c r="S30" s="43"/>
      <c r="T30" s="43"/>
      <c r="U30" s="43"/>
      <c r="V30" s="58"/>
    </row>
    <row r="33" spans="2:27" x14ac:dyDescent="0.25">
      <c r="B33" s="133" t="str">
        <f>"Note:  inputs are required in "&amp;'Reduction amount'!D17&amp;" and "&amp;'Reduction amount'!D18&amp;" to calculate the 'Reduction amount'."</f>
        <v>Note:  inputs are required in $Q$68:$Q$97 and $T$68:$T$97 to calculate the 'Reduction amount'.</v>
      </c>
    </row>
    <row r="35" spans="2:27" ht="18" x14ac:dyDescent="0.4">
      <c r="C35" s="78" t="str">
        <f>C11</f>
        <v>Table 3:  Annual calculation over analysis horizon ($, $2024-25)</v>
      </c>
      <c r="D35" s="148"/>
      <c r="E35" s="148"/>
      <c r="F35" s="148"/>
      <c r="G35" s="148"/>
      <c r="H35" s="148"/>
      <c r="I35" s="148"/>
      <c r="J35" s="148"/>
      <c r="K35" s="148"/>
      <c r="L35" s="148"/>
      <c r="M35" s="148"/>
      <c r="N35" s="148"/>
      <c r="O35" s="148"/>
      <c r="P35" s="1"/>
      <c r="Q35" s="148"/>
      <c r="R35" s="148"/>
      <c r="S35" s="1"/>
      <c r="T35" s="148"/>
      <c r="U35" s="148"/>
    </row>
    <row r="36" spans="2:27" ht="18" x14ac:dyDescent="0.4">
      <c r="B36" s="53"/>
      <c r="C36" s="81"/>
      <c r="D36" s="147"/>
      <c r="E36" s="147"/>
      <c r="F36" s="147"/>
      <c r="G36" s="147"/>
      <c r="H36" s="147"/>
      <c r="I36" s="147"/>
      <c r="J36" s="147"/>
      <c r="K36" s="42"/>
      <c r="L36" s="147"/>
      <c r="M36" s="42"/>
      <c r="N36" s="42"/>
      <c r="O36" s="42"/>
      <c r="P36" s="42"/>
      <c r="Q36" s="149" t="str">
        <f>IF(COUNT(Q39:Q129)&lt;&gt;'General inputs'!H38,"Data required in input range "&amp;'Reduction amount'!D17,"OK")</f>
        <v>OK</v>
      </c>
      <c r="R36" s="131"/>
      <c r="S36" s="42"/>
      <c r="T36" s="149" t="str">
        <f>IF(COUNT(T39:T129)&lt;&gt;'General inputs'!H38,"Data required in input range "&amp;'Reduction amount'!D18,"OK")</f>
        <v>OK</v>
      </c>
      <c r="U36" s="42"/>
      <c r="V36" s="54"/>
    </row>
    <row r="37" spans="2:27" ht="18" x14ac:dyDescent="0.4">
      <c r="B37" s="55"/>
      <c r="C37" s="78"/>
      <c r="D37" s="148"/>
      <c r="E37" s="151" t="s">
        <v>104</v>
      </c>
      <c r="F37" s="148"/>
      <c r="G37" s="148"/>
      <c r="H37" s="148"/>
      <c r="I37" s="148"/>
      <c r="J37" s="151" t="s">
        <v>105</v>
      </c>
      <c r="L37" s="148"/>
      <c r="Q37" s="151" t="s">
        <v>106</v>
      </c>
      <c r="R37" s="132"/>
      <c r="T37" s="151" t="s">
        <v>107</v>
      </c>
      <c r="V37" s="56"/>
    </row>
    <row r="38" spans="2:27" ht="82" x14ac:dyDescent="0.4">
      <c r="B38" s="55"/>
      <c r="C38" s="78"/>
      <c r="D38" s="170" t="s">
        <v>108</v>
      </c>
      <c r="E38" s="150" t="s">
        <v>109</v>
      </c>
      <c r="F38" s="150" t="s">
        <v>110</v>
      </c>
      <c r="G38" s="150" t="s">
        <v>111</v>
      </c>
      <c r="H38" s="24" t="s">
        <v>112</v>
      </c>
      <c r="I38" s="37"/>
      <c r="J38" s="24" t="s">
        <v>113</v>
      </c>
      <c r="K38" s="150" t="s">
        <v>114</v>
      </c>
      <c r="L38" s="24" t="s">
        <v>115</v>
      </c>
      <c r="M38" s="24" t="s">
        <v>116</v>
      </c>
      <c r="N38" s="24" t="s">
        <v>117</v>
      </c>
      <c r="O38" s="24" t="s">
        <v>118</v>
      </c>
      <c r="P38" s="37"/>
      <c r="Q38" s="24" t="s">
        <v>119</v>
      </c>
      <c r="R38" s="24" t="s">
        <v>120</v>
      </c>
      <c r="S38" s="152"/>
      <c r="T38" s="24" t="s">
        <v>121</v>
      </c>
      <c r="U38" s="24" t="s">
        <v>122</v>
      </c>
      <c r="V38" s="56"/>
    </row>
    <row r="39" spans="2:27" ht="12" thickBot="1" x14ac:dyDescent="0.3">
      <c r="B39" s="55"/>
      <c r="C39" s="28">
        <f>IF(D39='General inputs'!$I$16,0,IF(D39&lt;'General inputs'!$I$16,C40-1,C38+1))</f>
        <v>-29</v>
      </c>
      <c r="D39" s="171" t="str">
        <f>RIGHT(YEAR('General inputs'!$H$24),4)&amp;"-"&amp;RIGHT(YEAR('General inputs'!H24),2)+1</f>
        <v>1995-96</v>
      </c>
      <c r="E39" s="85">
        <f>IF(LEFT(D39,4)*1&gt;LEFT('General inputs'!$I$16,4)+'General inputs'!$H$38-1,"",'ET inputs'!D12)</f>
        <v>1163</v>
      </c>
      <c r="F39" s="85">
        <f>IF(LEFT(D39,4)*1&gt;LEFT('General inputs'!$I$16,4)+'General inputs'!$H$38-1,"",E39/(1+'General inputs'!$H$30)^C39)</f>
        <v>1163</v>
      </c>
      <c r="G39" s="85">
        <f>IF(LEFT(D39,4)*1&gt;LEFT('General inputs'!$I$16,4)+'General inputs'!$H$38-1,"",E39/(1+'General inputs'!$H$32)^C39)</f>
        <v>2590.4787844619127</v>
      </c>
      <c r="H39" s="84" t="str">
        <f>IF(LEFT(D39,4)*1&lt;LEFT('General inputs'!$I$16,4)*1,"",IF(LEFT(D39,4)*1&gt;LEFT('General inputs'!$I$16,4)+'General inputs'!$H$38-1,"",E39/(1+'General inputs'!$H$34)^C39))</f>
        <v/>
      </c>
      <c r="J39" s="85">
        <f>'Pre-1996 assets'!P219</f>
        <v>78456438.743314505</v>
      </c>
      <c r="K39" s="85">
        <f>J39/(1+'General inputs'!$H$30)^C39</f>
        <v>78456438.743314505</v>
      </c>
      <c r="L39" s="172">
        <f>IF(LEFT(D39,4)*1&gt;LEFT('General inputs'!$I$18,4)*1,"",SUMIF('Post-1996 commissioned assets'!$F$22:$F$222,$D39,'Post-1996 commissioned assets'!$P$22:$P$222))</f>
        <v>1622106.3027584106</v>
      </c>
      <c r="M39" s="172">
        <f>IF(L39="","",L39/(1+'General inputs'!$H$32)^C39)</f>
        <v>3613097.1310727554</v>
      </c>
      <c r="N39" s="85" t="str">
        <f>IF(LEFT(D39,4)*1&lt;LEFT('General inputs'!$I$18,4)*1+1,"",SUMIF('Uncommissioned assets'!$F$22:$F$218,$D39,'Uncommissioned assets'!$P$22:$P$218))</f>
        <v/>
      </c>
      <c r="O39" s="85" t="str">
        <f>IF(N39="","",N39/(1+'General inputs'!$H$32)^C39)</f>
        <v/>
      </c>
      <c r="Q39" s="39"/>
      <c r="R39" s="84" t="str">
        <f>IF(OR(LEFT(D39,4)*1&lt;LEFT('General inputs'!$I$16,4)*1,LEFT(D39,4)*1&gt;LEFT('General inputs'!$I$16,4)+'General inputs'!$H$38-1),"",Q39/(1+'General inputs'!$H$34)^C39)</f>
        <v/>
      </c>
      <c r="T39" s="39"/>
      <c r="U39" s="84" t="str">
        <f>IF(OR(LEFT(D39,4)*1&lt;LEFT('General inputs'!$I$16,4)*1,LEFT(D39,4)*1&gt;LEFT('General inputs'!$I$16,4)+'General inputs'!$H$38-1),"",T39/(1+'General inputs'!$H$34)^C39)</f>
        <v/>
      </c>
      <c r="V39" s="56"/>
      <c r="X39" s="51"/>
      <c r="Y39" s="51"/>
      <c r="Z39" s="51"/>
      <c r="AA39" s="51"/>
    </row>
    <row r="40" spans="2:27" ht="12" thickTop="1" x14ac:dyDescent="0.25">
      <c r="B40" s="55"/>
      <c r="C40" s="28">
        <f>IF(D40='General inputs'!$I$16,0,IF(D40&lt;'General inputs'!$I$16,C41-1,C39+1))</f>
        <v>-28</v>
      </c>
      <c r="D40" s="28" t="str">
        <f>LEFT(D39,4)+1&amp;"-"&amp;RIGHT(D39,2)+1</f>
        <v>1996-97</v>
      </c>
      <c r="E40" s="84">
        <f>IF(LEFT(D40,4)*1&gt;LEFT('General inputs'!$I$16,4)+'General inputs'!$H$38-1,"",'ET inputs'!D13)</f>
        <v>1163</v>
      </c>
      <c r="F40" s="84">
        <f>IF(LEFT(D40,4)*1&gt;LEFT('General inputs'!$I$16,4)+'General inputs'!$H$38-1,"",E40/(1+'General inputs'!$H$30)^C40)</f>
        <v>1163</v>
      </c>
      <c r="G40" s="84">
        <f>IF(LEFT(D40,4)*1&gt;LEFT('General inputs'!$I$16,4)+'General inputs'!$H$38-1,"",E40/(1+'General inputs'!$H$32)^C40)</f>
        <v>2519.9209965582809</v>
      </c>
      <c r="H40" s="84" t="str">
        <f>IF(LEFT(D40,4)*1&lt;LEFT('General inputs'!$I$16,4)*1,"",IF(LEFT(D40,4)*1&gt;LEFT('General inputs'!$I$16,4)+'General inputs'!$H$38-1,"",E40/(1+'General inputs'!$H$34)^C40))</f>
        <v/>
      </c>
      <c r="J40" s="114"/>
      <c r="K40" s="114"/>
      <c r="L40" s="84">
        <f>IF(LEFT(D40,4)*1&gt;LEFT('General inputs'!$I$18,4)*1,"",SUMIF('Post-1996 commissioned assets'!$F$22:$F$222,$D40,'Post-1996 commissioned assets'!$P$22:$P$222))</f>
        <v>1955384.1015664684</v>
      </c>
      <c r="M40" s="84">
        <f>IF(L40="","",L40/(1+'General inputs'!$H$32)^C40)</f>
        <v>4236812.9440013701</v>
      </c>
      <c r="N40" s="84" t="str">
        <f>IF(LEFT(D40,4)*1&lt;LEFT('General inputs'!$I$18,4)*1+1,"",SUMIF('Uncommissioned assets'!$F$22:$F$218,$D40,'Uncommissioned assets'!$P$22:$P$218))</f>
        <v/>
      </c>
      <c r="O40" s="84" t="str">
        <f>IF(N40="","",N40/(1+'General inputs'!$H$32)^C40)</f>
        <v/>
      </c>
      <c r="Q40" s="39"/>
      <c r="R40" s="84" t="str">
        <f>IF(OR(LEFT(D40,4)*1&lt;LEFT('General inputs'!$I$16,4)*1,LEFT(D40,4)*1&gt;LEFT('General inputs'!$I$16,4)+'General inputs'!$H$38-1),"",Q40/(1+'General inputs'!$H$34)^C40)</f>
        <v/>
      </c>
      <c r="T40" s="39"/>
      <c r="U40" s="84" t="str">
        <f>IF(OR(LEFT(D40,4)*1&lt;LEFT('General inputs'!$I$16,4)*1,LEFT(D40,4)*1&gt;LEFT('General inputs'!$I$16,4)+'General inputs'!$H$38-1),"",T40/(1+'General inputs'!$H$34)^C40)</f>
        <v/>
      </c>
      <c r="V40" s="56"/>
    </row>
    <row r="41" spans="2:27" x14ac:dyDescent="0.25">
      <c r="B41" s="55"/>
      <c r="C41" s="28">
        <f>IF(D41='General inputs'!$I$16,0,IF(D41&lt;'General inputs'!$I$16,C42-1,C40+1))</f>
        <v>-27</v>
      </c>
      <c r="D41" s="28" t="str">
        <f t="shared" ref="D41:D99" si="1">LEFT(D40,4)+1&amp;"-"&amp;RIGHT(D40,2)+1</f>
        <v>1997-98</v>
      </c>
      <c r="E41" s="84">
        <f>IF(LEFT(D41,4)*1&gt;LEFT('General inputs'!$I$16,4)+'General inputs'!$H$38-1,"",'ET inputs'!D14)</f>
        <v>1163</v>
      </c>
      <c r="F41" s="84">
        <f>IF(LEFT(D41,4)*1&gt;LEFT('General inputs'!$I$16,4)+'General inputs'!$H$38-1,"",E41/(1+'General inputs'!$H$30)^C41)</f>
        <v>1163</v>
      </c>
      <c r="G41" s="84">
        <f>IF(LEFT(D41,4)*1&gt;LEFT('General inputs'!$I$16,4)+'General inputs'!$H$38-1,"",E41/(1+'General inputs'!$H$32)^C41)</f>
        <v>2451.285016107277</v>
      </c>
      <c r="H41" s="84" t="str">
        <f>IF(LEFT(D41,4)*1&lt;LEFT('General inputs'!$I$16,4)*1,"",IF(LEFT(D41,4)*1&gt;LEFT('General inputs'!$I$16,4)+'General inputs'!$H$38-1,"",E41/(1+'General inputs'!$H$34)^C41))</f>
        <v/>
      </c>
      <c r="J41" s="114"/>
      <c r="K41" s="114"/>
      <c r="L41" s="84">
        <f>IF(LEFT(D41,4)*1&gt;LEFT('General inputs'!$I$18,4)*1,"",SUMIF('Post-1996 commissioned assets'!$F$22:$F$222,$D41,'Post-1996 commissioned assets'!$P$22:$P$222))</f>
        <v>127268.78229336938</v>
      </c>
      <c r="M41" s="84">
        <f>IF(L41="","",L41/(1+'General inputs'!$H$32)^C41)</f>
        <v>268247.68620288518</v>
      </c>
      <c r="N41" s="84" t="str">
        <f>IF(LEFT(D41,4)*1&lt;LEFT('General inputs'!$I$18,4)*1+1,"",SUMIF('Uncommissioned assets'!$F$22:$F$218,$D41,'Uncommissioned assets'!$P$22:$P$218))</f>
        <v/>
      </c>
      <c r="O41" s="84" t="str">
        <f>IF(N41="","",N41/(1+'General inputs'!$H$32)^C41)</f>
        <v/>
      </c>
      <c r="Q41" s="39"/>
      <c r="R41" s="84" t="str">
        <f>IF(OR(LEFT(D41,4)*1&lt;LEFT('General inputs'!$I$16,4)*1,LEFT(D41,4)*1&gt;LEFT('General inputs'!$I$16,4)+'General inputs'!$H$38-1),"",Q41/(1+'General inputs'!$H$34)^C41)</f>
        <v/>
      </c>
      <c r="T41" s="39"/>
      <c r="U41" s="84" t="str">
        <f>IF(OR(LEFT(D41,4)*1&lt;LEFT('General inputs'!$I$16,4)*1,LEFT(D41,4)*1&gt;LEFT('General inputs'!$I$16,4)+'General inputs'!$H$38-1),"",T41/(1+'General inputs'!$H$34)^C41)</f>
        <v/>
      </c>
      <c r="V41" s="56"/>
      <c r="X41" s="38"/>
      <c r="Y41" s="38"/>
      <c r="Z41" s="38"/>
    </row>
    <row r="42" spans="2:27" ht="12" thickBot="1" x14ac:dyDescent="0.3">
      <c r="B42" s="55"/>
      <c r="C42" s="28">
        <f>IF(D42='General inputs'!$I$16,0,IF(D42&lt;'General inputs'!$I$16,C43-1,C41+1))</f>
        <v>-26</v>
      </c>
      <c r="D42" s="86" t="str">
        <f t="shared" si="1"/>
        <v>1998-99</v>
      </c>
      <c r="E42" s="84">
        <f>IF(LEFT(D42,4)*1&gt;LEFT('General inputs'!$I$16,4)+'General inputs'!$H$38-1,"",'ET inputs'!D15)</f>
        <v>1163</v>
      </c>
      <c r="F42" s="84">
        <f>IF(LEFT(D42,4)*1&gt;LEFT('General inputs'!$I$16,4)+'General inputs'!$H$38-1,"",E42/(1+'General inputs'!$H$30)^C42)</f>
        <v>1163</v>
      </c>
      <c r="G42" s="84">
        <f>IF(LEFT(D42,4)*1&gt;LEFT('General inputs'!$I$16,4)+'General inputs'!$H$38-1,"",E42/(1+'General inputs'!$H$32)^C42)</f>
        <v>2384.5184981588295</v>
      </c>
      <c r="H42" s="84" t="str">
        <f>IF(LEFT(D42,4)*1&lt;LEFT('General inputs'!$I$16,4)*1,"",IF(LEFT(D42,4)*1&gt;LEFT('General inputs'!$I$16,4)+'General inputs'!$H$38-1,"",E42/(1+'General inputs'!$H$34)^C42))</f>
        <v/>
      </c>
      <c r="J42" s="114"/>
      <c r="K42" s="114"/>
      <c r="L42" s="84">
        <f>IF(LEFT(D42,4)*1&gt;LEFT('General inputs'!$I$18,4)*1,"",SUMIF('Post-1996 commissioned assets'!$F$22:$F$222,$D42,'Post-1996 commissioned assets'!$P$22:$P$222))</f>
        <v>629825.71977037191</v>
      </c>
      <c r="M42" s="84">
        <f>IF(L42="","",L42/(1+'General inputs'!$H$32)^C42)</f>
        <v>1291342.2866798374</v>
      </c>
      <c r="N42" s="84" t="str">
        <f>IF(LEFT(D42,4)*1&lt;LEFT('General inputs'!$I$18,4)*1+1,"",SUMIF('Uncommissioned assets'!$F$22:$F$218,$D42,'Uncommissioned assets'!$P$22:$P$218))</f>
        <v/>
      </c>
      <c r="O42" s="84" t="str">
        <f>IF(N42="","",N42/(1+'General inputs'!$H$32)^C42)</f>
        <v/>
      </c>
      <c r="Q42" s="39"/>
      <c r="R42" s="84" t="str">
        <f>IF(OR(LEFT(D42,4)*1&lt;LEFT('General inputs'!$I$16,4)*1,LEFT(D42,4)*1&gt;LEFT('General inputs'!$I$16,4)+'General inputs'!$H$38-1),"",Q42/(1+'General inputs'!$H$34)^C42)</f>
        <v/>
      </c>
      <c r="T42" s="39"/>
      <c r="U42" s="84" t="str">
        <f>IF(OR(LEFT(D42,4)*1&lt;LEFT('General inputs'!$I$16,4)*1,LEFT(D42,4)*1&gt;LEFT('General inputs'!$I$16,4)+'General inputs'!$H$38-1),"",T42/(1+'General inputs'!$H$34)^C42)</f>
        <v/>
      </c>
      <c r="V42" s="56"/>
      <c r="X42" s="38"/>
      <c r="Y42" s="38"/>
      <c r="Z42" s="38"/>
    </row>
    <row r="43" spans="2:27" ht="12.5" thickTop="1" thickBot="1" x14ac:dyDescent="0.3">
      <c r="B43" s="55"/>
      <c r="C43" s="28">
        <f>IF(D43='General inputs'!$I$16,0,IF(D43&lt;'General inputs'!$I$16,C44-1,C42+1))</f>
        <v>-25</v>
      </c>
      <c r="D43" s="87" t="str">
        <f>LEFT(D42,4)+1&amp;"-00"</f>
        <v>1999-00</v>
      </c>
      <c r="E43" s="84">
        <f>IF(LEFT(D43,4)*1&gt;LEFT('General inputs'!$I$16,4)+'General inputs'!$H$38-1,"",'ET inputs'!D16)</f>
        <v>1163</v>
      </c>
      <c r="F43" s="84">
        <f>IF(LEFT(D43,4)*1&gt;LEFT('General inputs'!$I$16,4)+'General inputs'!$H$38-1,"",E43/(1+'General inputs'!$H$30)^C43)</f>
        <v>1163</v>
      </c>
      <c r="G43" s="84">
        <f>IF(LEFT(D43,4)*1&gt;LEFT('General inputs'!$I$16,4)+'General inputs'!$H$38-1,"",E43/(1+'General inputs'!$H$32)^C43)</f>
        <v>2319.5705235008072</v>
      </c>
      <c r="H43" s="84" t="str">
        <f>IF(LEFT(D43,4)*1&lt;LEFT('General inputs'!$I$16,4)*1,"",IF(LEFT(D43,4)*1&gt;LEFT('General inputs'!$I$16,4)+'General inputs'!$H$38-1,"",E43/(1+'General inputs'!$H$34)^C43))</f>
        <v/>
      </c>
      <c r="J43" s="114"/>
      <c r="K43" s="114"/>
      <c r="L43" s="84">
        <f>IF(LEFT(D43,4)*1&gt;LEFT('General inputs'!$I$18,4)*1,"",SUMIF('Post-1996 commissioned assets'!$F$22:$F$222,$D43,'Post-1996 commissioned assets'!$P$22:$P$222))</f>
        <v>2073347.0108926757</v>
      </c>
      <c r="M43" s="84">
        <f>IF(L43="","",L43/(1+'General inputs'!$H$32)^C43)</f>
        <v>4135231.8241230939</v>
      </c>
      <c r="N43" s="84" t="str">
        <f>IF(LEFT(D43,4)*1&lt;LEFT('General inputs'!$I$18,4)*1+1,"",SUMIF('Uncommissioned assets'!$F$22:$F$218,$D43,'Uncommissioned assets'!$P$22:$P$218))</f>
        <v/>
      </c>
      <c r="O43" s="84" t="str">
        <f>IF(N43="","",N43/(1+'General inputs'!$H$32)^C43)</f>
        <v/>
      </c>
      <c r="Q43" s="39"/>
      <c r="R43" s="84" t="str">
        <f>IF(OR(LEFT(D43,4)*1&lt;LEFT('General inputs'!$I$16,4)*1,LEFT(D43,4)*1&gt;LEFT('General inputs'!$I$16,4)+'General inputs'!$H$38-1),"",Q43/(1+'General inputs'!$H$34)^C43)</f>
        <v/>
      </c>
      <c r="T43" s="39"/>
      <c r="U43" s="84" t="str">
        <f>IF(OR(LEFT(D43,4)*1&lt;LEFT('General inputs'!$I$16,4)*1,LEFT(D43,4)*1&gt;LEFT('General inputs'!$I$16,4)+'General inputs'!$H$38-1),"",T43/(1+'General inputs'!$H$34)^C43)</f>
        <v/>
      </c>
      <c r="V43" s="56"/>
      <c r="X43" s="38"/>
      <c r="Y43" s="38"/>
      <c r="Z43" s="38"/>
    </row>
    <row r="44" spans="2:27" ht="12" thickTop="1" x14ac:dyDescent="0.25">
      <c r="B44" s="55"/>
      <c r="C44" s="28">
        <f>IF(D44='General inputs'!$I$16,0,IF(D44&lt;'General inputs'!$I$16,C45-1,C43+1))</f>
        <v>-24</v>
      </c>
      <c r="D44" s="88" t="str">
        <f>LEFT(D43,4)+1&amp;"-0"&amp;RIGHT(D43,2)+1</f>
        <v>2000-01</v>
      </c>
      <c r="E44" s="84">
        <f>IF(LEFT(D44,4)*1&gt;LEFT('General inputs'!$I$16,4)+'General inputs'!$H$38-1,"",'ET inputs'!D17)</f>
        <v>1163</v>
      </c>
      <c r="F44" s="84">
        <f>IF(LEFT(D44,4)*1&gt;LEFT('General inputs'!$I$16,4)+'General inputs'!$H$38-1,"",E44/(1+'General inputs'!$H$30)^C44)</f>
        <v>1163</v>
      </c>
      <c r="G44" s="84">
        <f>IF(LEFT(D44,4)*1&gt;LEFT('General inputs'!$I$16,4)+'General inputs'!$H$38-1,"",E44/(1+'General inputs'!$H$32)^C44)</f>
        <v>2256.3915598256876</v>
      </c>
      <c r="H44" s="84" t="str">
        <f>IF(LEFT(D44,4)*1&lt;LEFT('General inputs'!$I$16,4)*1,"",IF(LEFT(D44,4)*1&gt;LEFT('General inputs'!$I$16,4)+'General inputs'!$H$38-1,"",E44/(1+'General inputs'!$H$34)^C44))</f>
        <v/>
      </c>
      <c r="J44" s="114"/>
      <c r="K44" s="114"/>
      <c r="L44" s="84">
        <f>IF(LEFT(D44,4)*1&gt;LEFT('General inputs'!$I$18,4)*1,"",SUMIF('Post-1996 commissioned assets'!$F$22:$F$222,$D44,'Post-1996 commissioned assets'!$P$22:$P$222))</f>
        <v>715359.587501804</v>
      </c>
      <c r="M44" s="84">
        <f>IF(L44="","",L44/(1+'General inputs'!$H$32)^C44)</f>
        <v>1387903.1259496612</v>
      </c>
      <c r="N44" s="84" t="str">
        <f>IF(LEFT(D44,4)*1&lt;LEFT('General inputs'!$I$18,4)*1+1,"",SUMIF('Uncommissioned assets'!$F$22:$F$218,$D44,'Uncommissioned assets'!$P$22:$P$218))</f>
        <v/>
      </c>
      <c r="O44" s="84" t="str">
        <f>IF(N44="","",N44/(1+'General inputs'!$H$32)^C44)</f>
        <v/>
      </c>
      <c r="Q44" s="39"/>
      <c r="R44" s="84" t="str">
        <f>IF(OR(LEFT(D44,4)*1&lt;LEFT('General inputs'!$I$16,4)*1,LEFT(D44,4)*1&gt;LEFT('General inputs'!$I$16,4)+'General inputs'!$H$38-1),"",Q44/(1+'General inputs'!$H$34)^C44)</f>
        <v/>
      </c>
      <c r="T44" s="39"/>
      <c r="U44" s="84" t="str">
        <f>IF(OR(LEFT(D44,4)*1&lt;LEFT('General inputs'!$I$16,4)*1,LEFT(D44,4)*1&gt;LEFT('General inputs'!$I$16,4)+'General inputs'!$H$38-1),"",T44/(1+'General inputs'!$H$34)^C44)</f>
        <v/>
      </c>
      <c r="V44" s="56"/>
      <c r="X44" s="38"/>
      <c r="Y44" s="38"/>
      <c r="Z44" s="38"/>
    </row>
    <row r="45" spans="2:27" x14ac:dyDescent="0.25">
      <c r="B45" s="55"/>
      <c r="C45" s="28">
        <f>IF(D45='General inputs'!$I$16,0,IF(D45&lt;'General inputs'!$I$16,C46-1,C44+1))</f>
        <v>-23</v>
      </c>
      <c r="D45" s="28" t="str">
        <f t="shared" ref="D45:D52" si="2">LEFT(D44,4)+1&amp;"-0"&amp;RIGHT(D44,2)+1</f>
        <v>2001-02</v>
      </c>
      <c r="E45" s="84">
        <f>IF(LEFT(D45,4)*1&gt;LEFT('General inputs'!$I$16,4)+'General inputs'!$H$38-1,"",'ET inputs'!D18)</f>
        <v>903.6</v>
      </c>
      <c r="F45" s="84">
        <f>IF(LEFT(D45,4)*1&gt;LEFT('General inputs'!$I$16,4)+'General inputs'!$H$38-1,"",E45/(1+'General inputs'!$H$30)^C45)</f>
        <v>903.6</v>
      </c>
      <c r="G45" s="84">
        <f>IF(LEFT(D45,4)*1&gt;LEFT('General inputs'!$I$16,4)+'General inputs'!$H$38-1,"",E45/(1+'General inputs'!$H$32)^C45)</f>
        <v>1705.3670179584628</v>
      </c>
      <c r="H45" s="84" t="str">
        <f>IF(LEFT(D45,4)*1&lt;LEFT('General inputs'!$I$16,4)*1,"",IF(LEFT(D45,4)*1&gt;LEFT('General inputs'!$I$16,4)+'General inputs'!$H$38-1,"",E45/(1+'General inputs'!$H$34)^C45))</f>
        <v/>
      </c>
      <c r="J45" s="114"/>
      <c r="K45" s="114"/>
      <c r="L45" s="84">
        <f>IF(LEFT(D45,4)*1&gt;LEFT('General inputs'!$I$18,4)*1,"",SUMIF('Post-1996 commissioned assets'!$F$22:$F$222,$D45,'Post-1996 commissioned assets'!$P$22:$P$222))</f>
        <v>457934.17855835945</v>
      </c>
      <c r="M45" s="84">
        <f>IF(L45="","",L45/(1+'General inputs'!$H$32)^C45)</f>
        <v>864260.56275932677</v>
      </c>
      <c r="N45" s="84" t="str">
        <f>IF(LEFT(D45,4)*1&lt;LEFT('General inputs'!$I$18,4)*1+1,"",SUMIF('Uncommissioned assets'!$F$22:$F$218,$D45,'Uncommissioned assets'!$P$22:$P$218))</f>
        <v/>
      </c>
      <c r="O45" s="84" t="str">
        <f>IF(N45="","",N45/(1+'General inputs'!$H$32)^C45)</f>
        <v/>
      </c>
      <c r="Q45" s="39"/>
      <c r="R45" s="84" t="str">
        <f>IF(OR(LEFT(D45,4)*1&lt;LEFT('General inputs'!$I$16,4)*1,LEFT(D45,4)*1&gt;LEFT('General inputs'!$I$16,4)+'General inputs'!$H$38-1),"",Q45/(1+'General inputs'!$H$34)^C45)</f>
        <v/>
      </c>
      <c r="T45" s="39"/>
      <c r="U45" s="84" t="str">
        <f>IF(OR(LEFT(D45,4)*1&lt;LEFT('General inputs'!$I$16,4)*1,LEFT(D45,4)*1&gt;LEFT('General inputs'!$I$16,4)+'General inputs'!$H$38-1),"",T45/(1+'General inputs'!$H$34)^C45)</f>
        <v/>
      </c>
      <c r="V45" s="56"/>
      <c r="X45" s="38"/>
      <c r="Y45" s="38"/>
      <c r="Z45" s="38"/>
    </row>
    <row r="46" spans="2:27" x14ac:dyDescent="0.25">
      <c r="B46" s="55"/>
      <c r="C46" s="28">
        <f>IF(D46='General inputs'!$I$16,0,IF(D46&lt;'General inputs'!$I$16,C47-1,C45+1))</f>
        <v>-22</v>
      </c>
      <c r="D46" s="28" t="str">
        <f t="shared" si="2"/>
        <v>2002-03</v>
      </c>
      <c r="E46" s="84">
        <f>IF(LEFT(D46,4)*1&gt;LEFT('General inputs'!$I$16,4)+'General inputs'!$H$38-1,"",'ET inputs'!D19)</f>
        <v>903.6</v>
      </c>
      <c r="F46" s="84">
        <f>IF(LEFT(D46,4)*1&gt;LEFT('General inputs'!$I$16,4)+'General inputs'!$H$38-1,"",E46/(1+'General inputs'!$H$30)^C46)</f>
        <v>903.6</v>
      </c>
      <c r="G46" s="84">
        <f>IF(LEFT(D46,4)*1&gt;LEFT('General inputs'!$I$16,4)+'General inputs'!$H$38-1,"",E46/(1+'General inputs'!$H$32)^C46)</f>
        <v>1658.917332644419</v>
      </c>
      <c r="H46" s="84" t="str">
        <f>IF(LEFT(D46,4)*1&lt;LEFT('General inputs'!$I$16,4)*1,"",IF(LEFT(D46,4)*1&gt;LEFT('General inputs'!$I$16,4)+'General inputs'!$H$38-1,"",E46/(1+'General inputs'!$H$34)^C46))</f>
        <v/>
      </c>
      <c r="J46" s="114"/>
      <c r="K46" s="114"/>
      <c r="L46" s="84">
        <f>IF(LEFT(D46,4)*1&gt;LEFT('General inputs'!$I$18,4)*1,"",SUMIF('Post-1996 commissioned assets'!$F$22:$F$222,$D46,'Post-1996 commissioned assets'!$P$22:$P$222))</f>
        <v>1412457.4099848815</v>
      </c>
      <c r="M46" s="84">
        <f>IF(L46="","",L46/(1+'General inputs'!$H$32)^C46)</f>
        <v>2593127.5775187742</v>
      </c>
      <c r="N46" s="84" t="str">
        <f>IF(LEFT(D46,4)*1&lt;LEFT('General inputs'!$I$18,4)*1+1,"",SUMIF('Uncommissioned assets'!$F$22:$F$218,$D46,'Uncommissioned assets'!$P$22:$P$218))</f>
        <v/>
      </c>
      <c r="O46" s="84" t="str">
        <f>IF(N46="","",N46/(1+'General inputs'!$H$32)^C46)</f>
        <v/>
      </c>
      <c r="Q46" s="39"/>
      <c r="R46" s="84" t="str">
        <f>IF(OR(LEFT(D46,4)*1&lt;LEFT('General inputs'!$I$16,4)*1,LEFT(D46,4)*1&gt;LEFT('General inputs'!$I$16,4)+'General inputs'!$H$38-1),"",Q46/(1+'General inputs'!$H$34)^C46)</f>
        <v/>
      </c>
      <c r="T46" s="39"/>
      <c r="U46" s="84" t="str">
        <f>IF(OR(LEFT(D46,4)*1&lt;LEFT('General inputs'!$I$16,4)*1,LEFT(D46,4)*1&gt;LEFT('General inputs'!$I$16,4)+'General inputs'!$H$38-1),"",T46/(1+'General inputs'!$H$34)^C46)</f>
        <v/>
      </c>
      <c r="V46" s="56"/>
      <c r="X46" s="38"/>
      <c r="Y46" s="38"/>
      <c r="Z46" s="38"/>
    </row>
    <row r="47" spans="2:27" x14ac:dyDescent="0.25">
      <c r="B47" s="55"/>
      <c r="C47" s="28">
        <f>IF(D47='General inputs'!$I$16,0,IF(D47&lt;'General inputs'!$I$16,C48-1,C46+1))</f>
        <v>-21</v>
      </c>
      <c r="D47" s="28" t="str">
        <f t="shared" si="2"/>
        <v>2003-04</v>
      </c>
      <c r="E47" s="84">
        <f>IF(LEFT(D47,4)*1&gt;LEFT('General inputs'!$I$16,4)+'General inputs'!$H$38-1,"",'ET inputs'!D20)</f>
        <v>903.6</v>
      </c>
      <c r="F47" s="84">
        <f>IF(LEFT(D47,4)*1&gt;LEFT('General inputs'!$I$16,4)+'General inputs'!$H$38-1,"",E47/(1+'General inputs'!$H$30)^C47)</f>
        <v>903.6</v>
      </c>
      <c r="G47" s="84">
        <f>IF(LEFT(D47,4)*1&gt;LEFT('General inputs'!$I$16,4)+'General inputs'!$H$38-1,"",E47/(1+'General inputs'!$H$32)^C47)</f>
        <v>1613.7328138564385</v>
      </c>
      <c r="H47" s="84" t="str">
        <f>IF(LEFT(D47,4)*1&lt;LEFT('General inputs'!$I$16,4)*1,"",IF(LEFT(D47,4)*1&gt;LEFT('General inputs'!$I$16,4)+'General inputs'!$H$38-1,"",E47/(1+'General inputs'!$H$34)^C47))</f>
        <v/>
      </c>
      <c r="J47" s="114"/>
      <c r="K47" s="114"/>
      <c r="L47" s="84">
        <f>IF(LEFT(D47,4)*1&gt;LEFT('General inputs'!$I$18,4)*1,"",SUMIF('Post-1996 commissioned assets'!$F$22:$F$222,$D47,'Post-1996 commissioned assets'!$P$22:$P$222))</f>
        <v>1095625.3350470392</v>
      </c>
      <c r="M47" s="84">
        <f>IF(L47="","",L47/(1+'General inputs'!$H$32)^C47)</f>
        <v>1956669.4940879392</v>
      </c>
      <c r="N47" s="84" t="str">
        <f>IF(LEFT(D47,4)*1&lt;LEFT('General inputs'!$I$18,4)*1+1,"",SUMIF('Uncommissioned assets'!$F$22:$F$218,$D47,'Uncommissioned assets'!$P$22:$P$218))</f>
        <v/>
      </c>
      <c r="O47" s="84" t="str">
        <f>IF(N47="","",N47/(1+'General inputs'!$H$32)^C47)</f>
        <v/>
      </c>
      <c r="Q47" s="39"/>
      <c r="R47" s="84" t="str">
        <f>IF(OR(LEFT(D47,4)*1&lt;LEFT('General inputs'!$I$16,4)*1,LEFT(D47,4)*1&gt;LEFT('General inputs'!$I$16,4)+'General inputs'!$H$38-1),"",Q47/(1+'General inputs'!$H$34)^C47)</f>
        <v/>
      </c>
      <c r="T47" s="39"/>
      <c r="U47" s="84" t="str">
        <f>IF(OR(LEFT(D47,4)*1&lt;LEFT('General inputs'!$I$16,4)*1,LEFT(D47,4)*1&gt;LEFT('General inputs'!$I$16,4)+'General inputs'!$H$38-1),"",T47/(1+'General inputs'!$H$34)^C47)</f>
        <v/>
      </c>
      <c r="V47" s="56"/>
      <c r="X47" s="38"/>
      <c r="Y47" s="38"/>
      <c r="Z47" s="38"/>
    </row>
    <row r="48" spans="2:27" x14ac:dyDescent="0.25">
      <c r="B48" s="55"/>
      <c r="C48" s="28">
        <f>IF(D48='General inputs'!$I$16,0,IF(D48&lt;'General inputs'!$I$16,C49-1,C47+1))</f>
        <v>-20</v>
      </c>
      <c r="D48" s="28" t="str">
        <f t="shared" si="2"/>
        <v>2004-05</v>
      </c>
      <c r="E48" s="84">
        <f>IF(LEFT(D48,4)*1&gt;LEFT('General inputs'!$I$16,4)+'General inputs'!$H$38-1,"",'ET inputs'!D21)</f>
        <v>903.6</v>
      </c>
      <c r="F48" s="84">
        <f>IF(LEFT(D48,4)*1&gt;LEFT('General inputs'!$I$16,4)+'General inputs'!$H$38-1,"",E48/(1+'General inputs'!$H$30)^C48)</f>
        <v>903.6</v>
      </c>
      <c r="G48" s="84">
        <f>IF(LEFT(D48,4)*1&gt;LEFT('General inputs'!$I$16,4)+'General inputs'!$H$38-1,"",E48/(1+'General inputs'!$H$32)^C48)</f>
        <v>1569.7790018058743</v>
      </c>
      <c r="H48" s="84" t="str">
        <f>IF(LEFT(D48,4)*1&lt;LEFT('General inputs'!$I$16,4)*1,"",IF(LEFT(D48,4)*1&gt;LEFT('General inputs'!$I$16,4)+'General inputs'!$H$38-1,"",E48/(1+'General inputs'!$H$34)^C48))</f>
        <v/>
      </c>
      <c r="J48" s="114"/>
      <c r="K48" s="114"/>
      <c r="L48" s="84">
        <f>IF(LEFT(D48,4)*1&gt;LEFT('General inputs'!$I$18,4)*1,"",SUMIF('Post-1996 commissioned assets'!$F$22:$F$222,$D48,'Post-1996 commissioned assets'!$P$22:$P$222))</f>
        <v>3750896.5205129557</v>
      </c>
      <c r="M48" s="84">
        <f>IF(L48="","",L48/(1+'General inputs'!$H$32)^C48)</f>
        <v>6516244.5726515651</v>
      </c>
      <c r="N48" s="84" t="str">
        <f>IF(LEFT(D48,4)*1&lt;LEFT('General inputs'!$I$18,4)*1+1,"",SUMIF('Uncommissioned assets'!$F$22:$F$218,$D48,'Uncommissioned assets'!$P$22:$P$218))</f>
        <v/>
      </c>
      <c r="O48" s="84" t="str">
        <f>IF(N48="","",N48/(1+'General inputs'!$H$32)^C48)</f>
        <v/>
      </c>
      <c r="Q48" s="89"/>
      <c r="R48" s="84" t="str">
        <f>IF(OR(LEFT(D48,4)*1&lt;LEFT('General inputs'!$I$16,4)*1,LEFT(D48,4)*1&gt;LEFT('General inputs'!$I$16,4)+'General inputs'!$H$38-1),"",Q48/(1+'General inputs'!$H$34)^C48)</f>
        <v/>
      </c>
      <c r="T48" s="89"/>
      <c r="U48" s="84" t="str">
        <f>IF(OR(LEFT(D48,4)*1&lt;LEFT('General inputs'!$I$16,4)*1,LEFT(D48,4)*1&gt;LEFT('General inputs'!$I$16,4)+'General inputs'!$H$38-1),"",T48/(1+'General inputs'!$H$34)^C48)</f>
        <v/>
      </c>
      <c r="V48" s="56"/>
      <c r="X48" s="38"/>
      <c r="Y48" s="38"/>
      <c r="Z48" s="38"/>
    </row>
    <row r="49" spans="2:26" x14ac:dyDescent="0.25">
      <c r="B49" s="55"/>
      <c r="C49" s="28">
        <f>IF(D49='General inputs'!$I$16,0,IF(D49&lt;'General inputs'!$I$16,C50-1,C48+1))</f>
        <v>-19</v>
      </c>
      <c r="D49" s="28" t="str">
        <f t="shared" si="2"/>
        <v>2005-06</v>
      </c>
      <c r="E49" s="84">
        <f>IF(LEFT(D49,4)*1&gt;LEFT('General inputs'!$I$16,4)+'General inputs'!$H$38-1,"",'ET inputs'!D22)</f>
        <v>903.6</v>
      </c>
      <c r="F49" s="84">
        <f>IF(LEFT(D49,4)*1&gt;LEFT('General inputs'!$I$16,4)+'General inputs'!$H$38-1,"",E49/(1+'General inputs'!$H$30)^C49)</f>
        <v>903.6</v>
      </c>
      <c r="G49" s="84">
        <f>IF(LEFT(D49,4)*1&gt;LEFT('General inputs'!$I$16,4)+'General inputs'!$H$38-1,"",E49/(1+'General inputs'!$H$32)^C49)</f>
        <v>1527.022375297543</v>
      </c>
      <c r="H49" s="84" t="str">
        <f>IF(LEFT(D49,4)*1&lt;LEFT('General inputs'!$I$16,4)*1,"",IF(LEFT(D49,4)*1&gt;LEFT('General inputs'!$I$16,4)+'General inputs'!$H$38-1,"",E49/(1+'General inputs'!$H$34)^C49))</f>
        <v/>
      </c>
      <c r="J49" s="114"/>
      <c r="K49" s="114"/>
      <c r="L49" s="84">
        <f>IF(LEFT(D49,4)*1&gt;LEFT('General inputs'!$I$18,4)*1,"",SUMIF('Post-1996 commissioned assets'!$F$22:$F$222,$D49,'Post-1996 commissioned assets'!$P$22:$P$222))</f>
        <v>1860347.5633319756</v>
      </c>
      <c r="M49" s="84">
        <f>IF(L49="","",L49/(1+'General inputs'!$H$32)^C49)</f>
        <v>3143860.5080103911</v>
      </c>
      <c r="N49" s="84" t="str">
        <f>IF(LEFT(D49,4)*1&lt;LEFT('General inputs'!$I$18,4)*1+1,"",SUMIF('Uncommissioned assets'!$F$22:$F$218,$D49,'Uncommissioned assets'!$P$22:$P$218))</f>
        <v/>
      </c>
      <c r="O49" s="84" t="str">
        <f>IF(N49="","",N49/(1+'General inputs'!$H$32)^C49)</f>
        <v/>
      </c>
      <c r="Q49" s="89"/>
      <c r="R49" s="84" t="str">
        <f>IF(OR(LEFT(D49,4)*1&lt;LEFT('General inputs'!$I$16,4)*1,LEFT(D49,4)*1&gt;LEFT('General inputs'!$I$16,4)+'General inputs'!$H$38-1),"",Q49/(1+'General inputs'!$H$34)^C49)</f>
        <v/>
      </c>
      <c r="T49" s="89"/>
      <c r="U49" s="84" t="str">
        <f>IF(OR(LEFT(D49,4)*1&lt;LEFT('General inputs'!$I$16,4)*1,LEFT(D49,4)*1&gt;LEFT('General inputs'!$I$16,4)+'General inputs'!$H$38-1),"",T49/(1+'General inputs'!$H$34)^C49)</f>
        <v/>
      </c>
      <c r="V49" s="56"/>
      <c r="X49" s="38"/>
      <c r="Y49" s="38"/>
      <c r="Z49" s="38"/>
    </row>
    <row r="50" spans="2:26" x14ac:dyDescent="0.25">
      <c r="B50" s="55"/>
      <c r="C50" s="28">
        <f>IF(D50='General inputs'!$I$16,0,IF(D50&lt;'General inputs'!$I$16,C51-1,C49+1))</f>
        <v>-18</v>
      </c>
      <c r="D50" s="28" t="str">
        <f t="shared" si="2"/>
        <v>2006-07</v>
      </c>
      <c r="E50" s="84">
        <f>IF(LEFT(D50,4)*1&gt;LEFT('General inputs'!$I$16,4)+'General inputs'!$H$38-1,"",'ET inputs'!D23)</f>
        <v>903.6</v>
      </c>
      <c r="F50" s="84">
        <f>IF(LEFT(D50,4)*1&gt;LEFT('General inputs'!$I$16,4)+'General inputs'!$H$38-1,"",E50/(1+'General inputs'!$H$30)^C50)</f>
        <v>903.6</v>
      </c>
      <c r="G50" s="84">
        <f>IF(LEFT(D50,4)*1&gt;LEFT('General inputs'!$I$16,4)+'General inputs'!$H$38-1,"",E50/(1+'General inputs'!$H$32)^C50)</f>
        <v>1485.4303261649247</v>
      </c>
      <c r="H50" s="84" t="str">
        <f>IF(LEFT(D50,4)*1&lt;LEFT('General inputs'!$I$16,4)*1,"",IF(LEFT(D50,4)*1&gt;LEFT('General inputs'!$I$16,4)+'General inputs'!$H$38-1,"",E50/(1+'General inputs'!$H$34)^C50))</f>
        <v/>
      </c>
      <c r="J50" s="114"/>
      <c r="K50" s="114"/>
      <c r="L50" s="84">
        <f>IF(LEFT(D50,4)*1&gt;LEFT('General inputs'!$I$18,4)*1,"",SUMIF('Post-1996 commissioned assets'!$F$22:$F$222,$D50,'Post-1996 commissioned assets'!$P$22:$P$222))</f>
        <v>1048915.2303720051</v>
      </c>
      <c r="M50" s="84">
        <f>IF(L50="","",L50/(1+'General inputs'!$H$32)^C50)</f>
        <v>1724314.4010301514</v>
      </c>
      <c r="N50" s="84" t="str">
        <f>IF(LEFT(D50,4)*1&lt;LEFT('General inputs'!$I$18,4)*1+1,"",SUMIF('Uncommissioned assets'!$F$22:$F$218,$D50,'Uncommissioned assets'!$P$22:$P$218))</f>
        <v/>
      </c>
      <c r="O50" s="84" t="str">
        <f>IF(N50="","",N50/(1+'General inputs'!$H$32)^C50)</f>
        <v/>
      </c>
      <c r="Q50" s="89"/>
      <c r="R50" s="84" t="str">
        <f>IF(OR(LEFT(D50,4)*1&lt;LEFT('General inputs'!$I$16,4)*1,LEFT(D50,4)*1&gt;LEFT('General inputs'!$I$16,4)+'General inputs'!$H$38-1),"",Q50/(1+'General inputs'!$H$34)^C50)</f>
        <v/>
      </c>
      <c r="T50" s="89"/>
      <c r="U50" s="84" t="str">
        <f>IF(OR(LEFT(D50,4)*1&lt;LEFT('General inputs'!$I$16,4)*1,LEFT(D50,4)*1&gt;LEFT('General inputs'!$I$16,4)+'General inputs'!$H$38-1),"",T50/(1+'General inputs'!$H$34)^C50)</f>
        <v/>
      </c>
      <c r="V50" s="56"/>
      <c r="X50" s="38"/>
      <c r="Y50" s="38"/>
      <c r="Z50" s="38"/>
    </row>
    <row r="51" spans="2:26" x14ac:dyDescent="0.25">
      <c r="B51" s="55"/>
      <c r="C51" s="28">
        <f>IF(D51='General inputs'!$I$16,0,IF(D51&lt;'General inputs'!$I$16,C52-1,C50+1))</f>
        <v>-17</v>
      </c>
      <c r="D51" s="28" t="str">
        <f t="shared" si="2"/>
        <v>2007-08</v>
      </c>
      <c r="E51" s="84">
        <f>IF(LEFT(D51,4)*1&gt;LEFT('General inputs'!$I$16,4)+'General inputs'!$H$38-1,"",'ET inputs'!D24)</f>
        <v>394</v>
      </c>
      <c r="F51" s="84">
        <f>IF(LEFT(D51,4)*1&gt;LEFT('General inputs'!$I$16,4)+'General inputs'!$H$38-1,"",E51/(1+'General inputs'!$H$30)^C51)</f>
        <v>394</v>
      </c>
      <c r="G51" s="84">
        <f>IF(LEFT(D51,4)*1&gt;LEFT('General inputs'!$I$16,4)+'General inputs'!$H$38-1,"",E51/(1+'General inputs'!$H$32)^C51)</f>
        <v>630.05602805916465</v>
      </c>
      <c r="H51" s="84" t="str">
        <f>IF(LEFT(D51,4)*1&lt;LEFT('General inputs'!$I$16,4)*1,"",IF(LEFT(D51,4)*1&gt;LEFT('General inputs'!$I$16,4)+'General inputs'!$H$38-1,"",E51/(1+'General inputs'!$H$34)^C51))</f>
        <v/>
      </c>
      <c r="J51" s="114"/>
      <c r="K51" s="114"/>
      <c r="L51" s="84">
        <f>IF(LEFT(D51,4)*1&gt;LEFT('General inputs'!$I$18,4)*1,"",SUMIF('Post-1996 commissioned assets'!$F$22:$F$222,$D51,'Post-1996 commissioned assets'!$P$22:$P$222))</f>
        <v>237150.2927606267</v>
      </c>
      <c r="M51" s="84">
        <f>IF(L51="","",L51/(1+'General inputs'!$H$32)^C51)</f>
        <v>379233.43022799114</v>
      </c>
      <c r="N51" s="84" t="str">
        <f>IF(LEFT(D51,4)*1&lt;LEFT('General inputs'!$I$18,4)*1+1,"",SUMIF('Uncommissioned assets'!$F$22:$F$218,$D51,'Uncommissioned assets'!$P$22:$P$218))</f>
        <v/>
      </c>
      <c r="O51" s="84" t="str">
        <f>IF(N51="","",N51/(1+'General inputs'!$H$32)^C51)</f>
        <v/>
      </c>
      <c r="Q51" s="89"/>
      <c r="R51" s="84" t="str">
        <f>IF(OR(LEFT(D51,4)*1&lt;LEFT('General inputs'!$I$16,4)*1,LEFT(D51,4)*1&gt;LEFT('General inputs'!$I$16,4)+'General inputs'!$H$38-1),"",Q51/(1+'General inputs'!$H$34)^C51)</f>
        <v/>
      </c>
      <c r="T51" s="89"/>
      <c r="U51" s="84" t="str">
        <f>IF(OR(LEFT(D51,4)*1&lt;LEFT('General inputs'!$I$16,4)*1,LEFT(D51,4)*1&gt;LEFT('General inputs'!$I$16,4)+'General inputs'!$H$38-1),"",T51/(1+'General inputs'!$H$34)^C51)</f>
        <v/>
      </c>
      <c r="V51" s="56"/>
      <c r="X51" s="38"/>
      <c r="Y51" s="38"/>
      <c r="Z51" s="38"/>
    </row>
    <row r="52" spans="2:26" ht="12" thickBot="1" x14ac:dyDescent="0.3">
      <c r="B52" s="55"/>
      <c r="C52" s="28">
        <f>IF(D52='General inputs'!$I$16,0,IF(D52&lt;'General inputs'!$I$16,C53-1,C51+1))</f>
        <v>-16</v>
      </c>
      <c r="D52" s="86" t="str">
        <f t="shared" si="2"/>
        <v>2008-09</v>
      </c>
      <c r="E52" s="84">
        <f>IF(LEFT(D52,4)*1&gt;LEFT('General inputs'!$I$16,4)+'General inputs'!$H$38-1,"",'ET inputs'!D25)</f>
        <v>249</v>
      </c>
      <c r="F52" s="84">
        <f>IF(LEFT(D52,4)*1&gt;LEFT('General inputs'!$I$16,4)+'General inputs'!$H$38-1,"",E52/(1+'General inputs'!$H$30)^C52)</f>
        <v>249</v>
      </c>
      <c r="G52" s="84">
        <f>IF(LEFT(D52,4)*1&gt;LEFT('General inputs'!$I$16,4)+'General inputs'!$H$38-1,"",E52/(1+'General inputs'!$H$32)^C52)</f>
        <v>387.33717579532475</v>
      </c>
      <c r="H52" s="84" t="str">
        <f>IF(LEFT(D52,4)*1&lt;LEFT('General inputs'!$I$16,4)*1,"",IF(LEFT(D52,4)*1&gt;LEFT('General inputs'!$I$16,4)+'General inputs'!$H$38-1,"",E52/(1+'General inputs'!$H$34)^C52))</f>
        <v/>
      </c>
      <c r="J52" s="114"/>
      <c r="K52" s="114"/>
      <c r="L52" s="84">
        <f>IF(LEFT(D52,4)*1&gt;LEFT('General inputs'!$I$18,4)*1,"",SUMIF('Post-1996 commissioned assets'!$F$22:$F$222,$D52,'Post-1996 commissioned assets'!$P$22:$P$222))</f>
        <v>157917.01037938337</v>
      </c>
      <c r="M52" s="84">
        <f>IF(L52="","",L52/(1+'General inputs'!$H$32)^C52)</f>
        <v>245651.11972044717</v>
      </c>
      <c r="N52" s="84" t="str">
        <f>IF(LEFT(D52,4)*1&lt;LEFT('General inputs'!$I$18,4)*1+1,"",SUMIF('Uncommissioned assets'!$F$22:$F$218,$D52,'Uncommissioned assets'!$P$22:$P$218))</f>
        <v/>
      </c>
      <c r="O52" s="84" t="str">
        <f>IF(N52="","",N52/(1+'General inputs'!$H$32)^C52)</f>
        <v/>
      </c>
      <c r="Q52" s="89"/>
      <c r="R52" s="84" t="str">
        <f>IF(OR(LEFT(D52,4)*1&lt;LEFT('General inputs'!$I$16,4)*1,LEFT(D52,4)*1&gt;LEFT('General inputs'!$I$16,4)+'General inputs'!$H$38-1),"",Q52/(1+'General inputs'!$H$34)^C52)</f>
        <v/>
      </c>
      <c r="T52" s="89"/>
      <c r="U52" s="84" t="str">
        <f>IF(OR(LEFT(D52,4)*1&lt;LEFT('General inputs'!$I$16,4)*1,LEFT(D52,4)*1&gt;LEFT('General inputs'!$I$16,4)+'General inputs'!$H$38-1),"",T52/(1+'General inputs'!$H$34)^C52)</f>
        <v/>
      </c>
      <c r="V52" s="56"/>
      <c r="X52" s="38"/>
      <c r="Y52" s="38"/>
      <c r="Z52" s="38"/>
    </row>
    <row r="53" spans="2:26" ht="12" thickTop="1" x14ac:dyDescent="0.25">
      <c r="B53" s="55"/>
      <c r="C53" s="28">
        <f>IF(D53='General inputs'!$I$16,0,IF(D53&lt;'General inputs'!$I$16,C54-1,C52+1))</f>
        <v>-15</v>
      </c>
      <c r="D53" s="88" t="str">
        <f t="shared" si="1"/>
        <v>2009-10</v>
      </c>
      <c r="E53" s="84">
        <f>IF(LEFT(D53,4)*1&gt;LEFT('General inputs'!$I$16,4)+'General inputs'!$H$38-1,"",'ET inputs'!D26)</f>
        <v>483</v>
      </c>
      <c r="F53" s="84">
        <f>IF(LEFT(D53,4)*1&gt;LEFT('General inputs'!$I$16,4)+'General inputs'!$H$38-1,"",E53/(1+'General inputs'!$H$30)^C53)</f>
        <v>483</v>
      </c>
      <c r="G53" s="84">
        <f>IF(LEFT(D53,4)*1&gt;LEFT('General inputs'!$I$16,4)+'General inputs'!$H$38-1,"",E53/(1+'General inputs'!$H$32)^C53)</f>
        <v>730.87625173511901</v>
      </c>
      <c r="H53" s="84" t="str">
        <f>IF(LEFT(D53,4)*1&lt;LEFT('General inputs'!$I$16,4)*1,"",IF(LEFT(D53,4)*1&gt;LEFT('General inputs'!$I$16,4)+'General inputs'!$H$38-1,"",E53/(1+'General inputs'!$H$34)^C53))</f>
        <v/>
      </c>
      <c r="J53" s="114"/>
      <c r="K53" s="114"/>
      <c r="L53" s="84">
        <f>IF(LEFT(D53,4)*1&gt;LEFT('General inputs'!$I$18,4)*1,"",SUMIF('Post-1996 commissioned assets'!$F$22:$F$222,$D53,'Post-1996 commissioned assets'!$P$22:$P$222))</f>
        <v>795482.39581297594</v>
      </c>
      <c r="M53" s="84">
        <f>IF(L53="","",L53/(1+'General inputs'!$H$32)^C53)</f>
        <v>1203725.0347268328</v>
      </c>
      <c r="N53" s="84" t="str">
        <f>IF(LEFT(D53,4)*1&lt;LEFT('General inputs'!$I$18,4)*1+1,"",SUMIF('Uncommissioned assets'!$F$22:$F$218,$D53,'Uncommissioned assets'!$P$22:$P$218))</f>
        <v/>
      </c>
      <c r="O53" s="84" t="str">
        <f>IF(N53="","",N53/(1+'General inputs'!$H$32)^C53)</f>
        <v/>
      </c>
      <c r="Q53" s="89"/>
      <c r="R53" s="84" t="str">
        <f>IF(OR(LEFT(D53,4)*1&lt;LEFT('General inputs'!$I$16,4)*1,LEFT(D53,4)*1&gt;LEFT('General inputs'!$I$16,4)+'General inputs'!$H$38-1),"",Q53/(1+'General inputs'!$H$34)^C53)</f>
        <v/>
      </c>
      <c r="T53" s="89"/>
      <c r="U53" s="84" t="str">
        <f>IF(OR(LEFT(D53,4)*1&lt;LEFT('General inputs'!$I$16,4)*1,LEFT(D53,4)*1&gt;LEFT('General inputs'!$I$16,4)+'General inputs'!$H$38-1),"",T53/(1+'General inputs'!$H$34)^C53)</f>
        <v/>
      </c>
      <c r="V53" s="56"/>
      <c r="X53" s="38"/>
      <c r="Y53" s="38"/>
      <c r="Z53" s="38"/>
    </row>
    <row r="54" spans="2:26" x14ac:dyDescent="0.25">
      <c r="B54" s="55"/>
      <c r="C54" s="28">
        <f>IF(D54='General inputs'!$I$16,0,IF(D54&lt;'General inputs'!$I$16,C55-1,C53+1))</f>
        <v>-14</v>
      </c>
      <c r="D54" s="28" t="str">
        <f t="shared" si="1"/>
        <v>2010-11</v>
      </c>
      <c r="E54" s="84">
        <f>IF(LEFT(D54,4)*1&gt;LEFT('General inputs'!$I$16,4)+'General inputs'!$H$38-1,"",'ET inputs'!D27)</f>
        <v>153</v>
      </c>
      <c r="F54" s="84">
        <f>IF(LEFT(D54,4)*1&gt;LEFT('General inputs'!$I$16,4)+'General inputs'!$H$38-1,"",E54/(1+'General inputs'!$H$30)^C54)</f>
        <v>153</v>
      </c>
      <c r="G54" s="84">
        <f>IF(LEFT(D54,4)*1&gt;LEFT('General inputs'!$I$16,4)+'General inputs'!$H$38-1,"",E54/(1+'General inputs'!$H$32)^C54)</f>
        <v>225.21381950413917</v>
      </c>
      <c r="H54" s="84" t="str">
        <f>IF(LEFT(D54,4)*1&lt;LEFT('General inputs'!$I$16,4)*1,"",IF(LEFT(D54,4)*1&gt;LEFT('General inputs'!$I$16,4)+'General inputs'!$H$38-1,"",E54/(1+'General inputs'!$H$34)^C54))</f>
        <v/>
      </c>
      <c r="J54" s="114"/>
      <c r="K54" s="114"/>
      <c r="L54" s="84">
        <f>IF(LEFT(D54,4)*1&gt;LEFT('General inputs'!$I$18,4)*1,"",SUMIF('Post-1996 commissioned assets'!$F$22:$F$222,$D54,'Post-1996 commissioned assets'!$P$22:$P$222))</f>
        <v>108379.66206994229</v>
      </c>
      <c r="M54" s="84">
        <f>IF(L54="","",L54/(1+'General inputs'!$H$32)^C54)</f>
        <v>159533.31798261165</v>
      </c>
      <c r="N54" s="84" t="str">
        <f>IF(LEFT(D54,4)*1&lt;LEFT('General inputs'!$I$18,4)*1+1,"",SUMIF('Uncommissioned assets'!$F$22:$F$218,$D54,'Uncommissioned assets'!$P$22:$P$218))</f>
        <v/>
      </c>
      <c r="O54" s="84" t="str">
        <f>IF(N54="","",N54/(1+'General inputs'!$H$32)^C54)</f>
        <v/>
      </c>
      <c r="Q54" s="89"/>
      <c r="R54" s="84" t="str">
        <f>IF(OR(LEFT(D54,4)*1&lt;LEFT('General inputs'!$I$16,4)*1,LEFT(D54,4)*1&gt;LEFT('General inputs'!$I$16,4)+'General inputs'!$H$38-1),"",Q54/(1+'General inputs'!$H$34)^C54)</f>
        <v/>
      </c>
      <c r="T54" s="89"/>
      <c r="U54" s="84" t="str">
        <f>IF(OR(LEFT(D54,4)*1&lt;LEFT('General inputs'!$I$16,4)*1,LEFT(D54,4)*1&gt;LEFT('General inputs'!$I$16,4)+'General inputs'!$H$38-1),"",T54/(1+'General inputs'!$H$34)^C54)</f>
        <v/>
      </c>
      <c r="V54" s="56"/>
      <c r="X54" s="38"/>
      <c r="Y54" s="38"/>
      <c r="Z54" s="38"/>
    </row>
    <row r="55" spans="2:26" x14ac:dyDescent="0.25">
      <c r="B55" s="55"/>
      <c r="C55" s="28">
        <f>IF(D55='General inputs'!$I$16,0,IF(D55&lt;'General inputs'!$I$16,C56-1,C54+1))</f>
        <v>-13</v>
      </c>
      <c r="D55" s="28" t="str">
        <f t="shared" si="1"/>
        <v>2011-12</v>
      </c>
      <c r="E55" s="84">
        <f>IF(LEFT(D55,4)*1&gt;LEFT('General inputs'!$I$16,4)+'General inputs'!$H$38-1,"",'ET inputs'!D28)</f>
        <v>282</v>
      </c>
      <c r="F55" s="84">
        <f>IF(LEFT(D55,4)*1&gt;LEFT('General inputs'!$I$16,4)+'General inputs'!$H$38-1,"",E55/(1+'General inputs'!$H$30)^C55)</f>
        <v>282</v>
      </c>
      <c r="G55" s="84">
        <f>IF(LEFT(D55,4)*1&gt;LEFT('General inputs'!$I$16,4)+'General inputs'!$H$38-1,"",E55/(1+'General inputs'!$H$32)^C55)</f>
        <v>403.79375588214475</v>
      </c>
      <c r="H55" s="84" t="str">
        <f>IF(LEFT(D55,4)*1&lt;LEFT('General inputs'!$I$16,4)*1,"",IF(LEFT(D55,4)*1&gt;LEFT('General inputs'!$I$16,4)+'General inputs'!$H$38-1,"",E55/(1+'General inputs'!$H$34)^C55))</f>
        <v/>
      </c>
      <c r="J55" s="114"/>
      <c r="K55" s="114"/>
      <c r="L55" s="84">
        <f>IF(LEFT(D55,4)*1&gt;LEFT('General inputs'!$I$18,4)*1,"",SUMIF('Post-1996 commissioned assets'!$F$22:$F$222,$D55,'Post-1996 commissioned assets'!$P$22:$P$222))</f>
        <v>114511.94588983714</v>
      </c>
      <c r="M55" s="84">
        <f>IF(L55="","",L55/(1+'General inputs'!$H$32)^C55)</f>
        <v>163968.82526322789</v>
      </c>
      <c r="N55" s="84" t="str">
        <f>IF(LEFT(D55,4)*1&lt;LEFT('General inputs'!$I$18,4)*1+1,"",SUMIF('Uncommissioned assets'!$F$22:$F$218,$D55,'Uncommissioned assets'!$P$22:$P$218))</f>
        <v/>
      </c>
      <c r="O55" s="84" t="str">
        <f>IF(N55="","",N55/(1+'General inputs'!$H$32)^C55)</f>
        <v/>
      </c>
      <c r="Q55" s="89"/>
      <c r="R55" s="84" t="str">
        <f>IF(OR(LEFT(D55,4)*1&lt;LEFT('General inputs'!$I$16,4)*1,LEFT(D55,4)*1&gt;LEFT('General inputs'!$I$16,4)+'General inputs'!$H$38-1),"",Q55/(1+'General inputs'!$H$34)^C55)</f>
        <v/>
      </c>
      <c r="T55" s="89"/>
      <c r="U55" s="84" t="str">
        <f>IF(OR(LEFT(D55,4)*1&lt;LEFT('General inputs'!$I$16,4)*1,LEFT(D55,4)*1&gt;LEFT('General inputs'!$I$16,4)+'General inputs'!$H$38-1),"",T55/(1+'General inputs'!$H$34)^C55)</f>
        <v/>
      </c>
      <c r="V55" s="56"/>
      <c r="X55" s="38"/>
      <c r="Y55" s="38"/>
      <c r="Z55" s="38"/>
    </row>
    <row r="56" spans="2:26" x14ac:dyDescent="0.25">
      <c r="B56" s="55"/>
      <c r="C56" s="28">
        <f>IF(D56='General inputs'!$I$16,0,IF(D56&lt;'General inputs'!$I$16,C57-1,C55+1))</f>
        <v>-12</v>
      </c>
      <c r="D56" s="28" t="str">
        <f t="shared" si="1"/>
        <v>2012-13</v>
      </c>
      <c r="E56" s="84">
        <f>IF(LEFT(D56,4)*1&gt;LEFT('General inputs'!$I$16,4)+'General inputs'!$H$38-1,"",'ET inputs'!D29)</f>
        <v>288</v>
      </c>
      <c r="F56" s="84">
        <f>IF(LEFT(D56,4)*1&gt;LEFT('General inputs'!$I$16,4)+'General inputs'!$H$38-1,"",E56/(1+'General inputs'!$H$30)^C56)</f>
        <v>288</v>
      </c>
      <c r="G56" s="84">
        <f>IF(LEFT(D56,4)*1&gt;LEFT('General inputs'!$I$16,4)+'General inputs'!$H$38-1,"",E56/(1+'General inputs'!$H$32)^C56)</f>
        <v>401.15283306447037</v>
      </c>
      <c r="H56" s="84" t="str">
        <f>IF(LEFT(D56,4)*1&lt;LEFT('General inputs'!$I$16,4)*1,"",IF(LEFT(D56,4)*1&gt;LEFT('General inputs'!$I$16,4)+'General inputs'!$H$38-1,"",E56/(1+'General inputs'!$H$34)^C56))</f>
        <v/>
      </c>
      <c r="J56" s="114"/>
      <c r="K56" s="114"/>
      <c r="L56" s="84">
        <f>IF(LEFT(D56,4)*1&gt;LEFT('General inputs'!$I$18,4)*1,"",SUMIF('Post-1996 commissioned assets'!$F$22:$F$222,$D56,'Post-1996 commissioned assets'!$P$22:$P$222))</f>
        <v>514453.51801406307</v>
      </c>
      <c r="M56" s="84">
        <f>IF(L56="","",L56/(1+'General inputs'!$H$32)^C56)</f>
        <v>716578.07719210046</v>
      </c>
      <c r="N56" s="84" t="str">
        <f>IF(LEFT(D56,4)*1&lt;LEFT('General inputs'!$I$18,4)*1+1,"",SUMIF('Uncommissioned assets'!$F$22:$F$218,$D56,'Uncommissioned assets'!$P$22:$P$218))</f>
        <v/>
      </c>
      <c r="O56" s="84" t="str">
        <f>IF(N56="","",N56/(1+'General inputs'!$H$32)^C56)</f>
        <v/>
      </c>
      <c r="Q56" s="89"/>
      <c r="R56" s="84" t="str">
        <f>IF(OR(LEFT(D56,4)*1&lt;LEFT('General inputs'!$I$16,4)*1,LEFT(D56,4)*1&gt;LEFT('General inputs'!$I$16,4)+'General inputs'!$H$38-1),"",Q56/(1+'General inputs'!$H$34)^C56)</f>
        <v/>
      </c>
      <c r="T56" s="89"/>
      <c r="U56" s="84" t="str">
        <f>IF(OR(LEFT(D56,4)*1&lt;LEFT('General inputs'!$I$16,4)*1,LEFT(D56,4)*1&gt;LEFT('General inputs'!$I$16,4)+'General inputs'!$H$38-1),"",T56/(1+'General inputs'!$H$34)^C56)</f>
        <v/>
      </c>
      <c r="V56" s="56"/>
      <c r="X56" s="38"/>
      <c r="Y56" s="38"/>
      <c r="Z56" s="38"/>
    </row>
    <row r="57" spans="2:26" x14ac:dyDescent="0.25">
      <c r="B57" s="55"/>
      <c r="C57" s="28">
        <f>IF(D57='General inputs'!$I$16,0,IF(D57&lt;'General inputs'!$I$16,C58-1,C56+1))</f>
        <v>-11</v>
      </c>
      <c r="D57" s="28" t="str">
        <f t="shared" si="1"/>
        <v>2013-14</v>
      </c>
      <c r="E57" s="84">
        <f>IF(LEFT(D57,4)*1&gt;LEFT('General inputs'!$I$16,4)+'General inputs'!$H$38-1,"",'ET inputs'!D30)</f>
        <v>476</v>
      </c>
      <c r="F57" s="84">
        <f>IF(LEFT(D57,4)*1&gt;LEFT('General inputs'!$I$16,4)+'General inputs'!$H$38-1,"",E57/(1+'General inputs'!$H$30)^C57)</f>
        <v>476</v>
      </c>
      <c r="G57" s="84">
        <f>IF(LEFT(D57,4)*1&gt;LEFT('General inputs'!$I$16,4)+'General inputs'!$H$38-1,"",E57/(1+'General inputs'!$H$32)^C57)</f>
        <v>644.9576731338085</v>
      </c>
      <c r="H57" s="84" t="str">
        <f>IF(LEFT(D57,4)*1&lt;LEFT('General inputs'!$I$16,4)*1,"",IF(LEFT(D57,4)*1&gt;LEFT('General inputs'!$I$16,4)+'General inputs'!$H$38-1,"",E57/(1+'General inputs'!$H$34)^C57))</f>
        <v/>
      </c>
      <c r="J57" s="114"/>
      <c r="K57" s="114"/>
      <c r="L57" s="84">
        <f>IF(LEFT(D57,4)*1&gt;LEFT('General inputs'!$I$18,4)*1,"",SUMIF('Post-1996 commissioned assets'!$F$22:$F$222,$D57,'Post-1996 commissioned assets'!$P$22:$P$222))</f>
        <v>346533.87049599842</v>
      </c>
      <c r="M57" s="84">
        <f>IF(L57="","",L57/(1+'General inputs'!$H$32)^C57)</f>
        <v>469537.1402881337</v>
      </c>
      <c r="N57" s="84" t="str">
        <f>IF(LEFT(D57,4)*1&lt;LEFT('General inputs'!$I$18,4)*1+1,"",SUMIF('Uncommissioned assets'!$F$22:$F$218,$D57,'Uncommissioned assets'!$P$22:$P$218))</f>
        <v/>
      </c>
      <c r="O57" s="84" t="str">
        <f>IF(N57="","",N57/(1+'General inputs'!$H$32)^C57)</f>
        <v/>
      </c>
      <c r="Q57" s="89"/>
      <c r="R57" s="84" t="str">
        <f>IF(OR(LEFT(D57,4)*1&lt;LEFT('General inputs'!$I$16,4)*1,LEFT(D57,4)*1&gt;LEFT('General inputs'!$I$16,4)+'General inputs'!$H$38-1),"",Q57/(1+'General inputs'!$H$34)^C57)</f>
        <v/>
      </c>
      <c r="T57" s="89"/>
      <c r="U57" s="84" t="str">
        <f>IF(OR(LEFT(D57,4)*1&lt;LEFT('General inputs'!$I$16,4)*1,LEFT(D57,4)*1&gt;LEFT('General inputs'!$I$16,4)+'General inputs'!$H$38-1),"",T57/(1+'General inputs'!$H$34)^C57)</f>
        <v/>
      </c>
      <c r="V57" s="56"/>
      <c r="X57" s="38"/>
      <c r="Y57" s="38"/>
      <c r="Z57" s="38"/>
    </row>
    <row r="58" spans="2:26" x14ac:dyDescent="0.25">
      <c r="B58" s="55"/>
      <c r="C58" s="28">
        <f>IF(D58='General inputs'!$I$16,0,IF(D58&lt;'General inputs'!$I$16,C59-1,C57+1))</f>
        <v>-10</v>
      </c>
      <c r="D58" s="28" t="str">
        <f t="shared" si="1"/>
        <v>2014-15</v>
      </c>
      <c r="E58" s="84">
        <f>IF(LEFT(D58,4)*1&gt;LEFT('General inputs'!$I$16,4)+'General inputs'!$H$38-1,"",'ET inputs'!D31)</f>
        <v>656</v>
      </c>
      <c r="F58" s="84">
        <f>IF(LEFT(D58,4)*1&gt;LEFT('General inputs'!$I$16,4)+'General inputs'!$H$38-1,"",E58/(1+'General inputs'!$H$30)^C58)</f>
        <v>656</v>
      </c>
      <c r="G58" s="84">
        <f>IF(LEFT(D58,4)*1&gt;LEFT('General inputs'!$I$16,4)+'General inputs'!$H$38-1,"",E58/(1+'General inputs'!$H$32)^C58)</f>
        <v>864.63932898950861</v>
      </c>
      <c r="H58" s="84" t="str">
        <f>IF(LEFT(D58,4)*1&lt;LEFT('General inputs'!$I$16,4)*1,"",IF(LEFT(D58,4)*1&gt;LEFT('General inputs'!$I$16,4)+'General inputs'!$H$38-1,"",E58/(1+'General inputs'!$H$34)^C58))</f>
        <v/>
      </c>
      <c r="J58" s="114"/>
      <c r="K58" s="114"/>
      <c r="L58" s="84">
        <f>IF(LEFT(D58,4)*1&gt;LEFT('General inputs'!$I$18,4)*1,"",SUMIF('Post-1996 commissioned assets'!$F$22:$F$222,$D58,'Post-1996 commissioned assets'!$P$22:$P$222))</f>
        <v>791632.23739662557</v>
      </c>
      <c r="M58" s="84">
        <f>IF(L58="","",L58/(1+'General inputs'!$H$32)^C58)</f>
        <v>1043409.09534921</v>
      </c>
      <c r="N58" s="84" t="str">
        <f>IF(LEFT(D58,4)*1&lt;LEFT('General inputs'!$I$18,4)*1+1,"",SUMIF('Uncommissioned assets'!$F$22:$F$218,$D58,'Uncommissioned assets'!$P$22:$P$218))</f>
        <v/>
      </c>
      <c r="O58" s="84" t="str">
        <f>IF(N58="","",N58/(1+'General inputs'!$H$32)^C58)</f>
        <v/>
      </c>
      <c r="Q58" s="89"/>
      <c r="R58" s="84" t="str">
        <f>IF(OR(LEFT(D58,4)*1&lt;LEFT('General inputs'!$I$16,4)*1,LEFT(D58,4)*1&gt;LEFT('General inputs'!$I$16,4)+'General inputs'!$H$38-1),"",Q58/(1+'General inputs'!$H$34)^C58)</f>
        <v/>
      </c>
      <c r="T58" s="89"/>
      <c r="U58" s="84" t="str">
        <f>IF(OR(LEFT(D58,4)*1&lt;LEFT('General inputs'!$I$16,4)*1,LEFT(D58,4)*1&gt;LEFT('General inputs'!$I$16,4)+'General inputs'!$H$38-1),"",T58/(1+'General inputs'!$H$34)^C58)</f>
        <v/>
      </c>
      <c r="V58" s="56"/>
      <c r="X58" s="38"/>
      <c r="Y58" s="38"/>
      <c r="Z58" s="38"/>
    </row>
    <row r="59" spans="2:26" x14ac:dyDescent="0.25">
      <c r="B59" s="55"/>
      <c r="C59" s="28">
        <f>IF(D59='General inputs'!$I$16,0,IF(D59&lt;'General inputs'!$I$16,C60-1,C58+1))</f>
        <v>-9</v>
      </c>
      <c r="D59" s="28" t="str">
        <f t="shared" si="1"/>
        <v>2015-16</v>
      </c>
      <c r="E59" s="84">
        <f>IF(LEFT(D59,4)*1&gt;LEFT('General inputs'!$I$16,4)+'General inputs'!$H$38-1,"",'ET inputs'!D32)</f>
        <v>798</v>
      </c>
      <c r="F59" s="84">
        <f>IF(LEFT(D59,4)*1&gt;LEFT('General inputs'!$I$16,4)+'General inputs'!$H$38-1,"",E59/(1+'General inputs'!$H$30)^C59)</f>
        <v>798</v>
      </c>
      <c r="G59" s="84">
        <f>IF(LEFT(D59,4)*1&gt;LEFT('General inputs'!$I$16,4)+'General inputs'!$H$38-1,"",E59/(1+'General inputs'!$H$32)^C59)</f>
        <v>1023.1538040559872</v>
      </c>
      <c r="H59" s="84" t="str">
        <f>IF(LEFT(D59,4)*1&lt;LEFT('General inputs'!$I$16,4)*1,"",IF(LEFT(D59,4)*1&gt;LEFT('General inputs'!$I$16,4)+'General inputs'!$H$38-1,"",E59/(1+'General inputs'!$H$34)^C59))</f>
        <v/>
      </c>
      <c r="J59" s="114"/>
      <c r="K59" s="114"/>
      <c r="L59" s="84">
        <f>IF(LEFT(D59,4)*1&gt;LEFT('General inputs'!$I$18,4)*1,"",SUMIF('Post-1996 commissioned assets'!$F$22:$F$222,$D59,'Post-1996 commissioned assets'!$P$22:$P$222))</f>
        <v>510439.36076140858</v>
      </c>
      <c r="M59" s="84">
        <f>IF(L59="","",L59/(1+'General inputs'!$H$32)^C59)</f>
        <v>654458.61366283405</v>
      </c>
      <c r="N59" s="84" t="str">
        <f>IF(LEFT(D59,4)*1&lt;LEFT('General inputs'!$I$18,4)*1+1,"",SUMIF('Uncommissioned assets'!$F$22:$F$218,$D59,'Uncommissioned assets'!$P$22:$P$218))</f>
        <v/>
      </c>
      <c r="O59" s="84" t="str">
        <f>IF(N59="","",N59/(1+'General inputs'!$H$32)^C59)</f>
        <v/>
      </c>
      <c r="Q59" s="89"/>
      <c r="R59" s="84" t="str">
        <f>IF(OR(LEFT(D59,4)*1&lt;LEFT('General inputs'!$I$16,4)*1,LEFT(D59,4)*1&gt;LEFT('General inputs'!$I$16,4)+'General inputs'!$H$38-1),"",Q59/(1+'General inputs'!$H$34)^C59)</f>
        <v/>
      </c>
      <c r="T59" s="89"/>
      <c r="U59" s="84" t="str">
        <f>IF(OR(LEFT(D59,4)*1&lt;LEFT('General inputs'!$I$16,4)*1,LEFT(D59,4)*1&gt;LEFT('General inputs'!$I$16,4)+'General inputs'!$H$38-1),"",T59/(1+'General inputs'!$H$34)^C59)</f>
        <v/>
      </c>
      <c r="V59" s="56"/>
      <c r="X59" s="38"/>
      <c r="Y59" s="38"/>
      <c r="Z59" s="38"/>
    </row>
    <row r="60" spans="2:26" x14ac:dyDescent="0.25">
      <c r="B60" s="55"/>
      <c r="C60" s="28">
        <f>IF(D60='General inputs'!$I$16,0,IF(D60&lt;'General inputs'!$I$16,C61-1,C59+1))</f>
        <v>-8</v>
      </c>
      <c r="D60" s="28" t="str">
        <f t="shared" si="1"/>
        <v>2016-17</v>
      </c>
      <c r="E60" s="84">
        <f>IF(LEFT(D60,4)*1&gt;LEFT('General inputs'!$I$16,4)+'General inputs'!$H$38-1,"",'ET inputs'!D33)</f>
        <v>1277.8699999999999</v>
      </c>
      <c r="F60" s="84">
        <f>IF(LEFT(D60,4)*1&gt;LEFT('General inputs'!$I$16,4)+'General inputs'!$H$38-1,"",E60/(1+'General inputs'!$H$30)^C60)</f>
        <v>1277.8699999999999</v>
      </c>
      <c r="G60" s="84">
        <f>IF(LEFT(D60,4)*1&gt;LEFT('General inputs'!$I$16,4)+'General inputs'!$H$38-1,"",E60/(1+'General inputs'!$H$32)^C60)</f>
        <v>1593.7918136647847</v>
      </c>
      <c r="H60" s="84" t="str">
        <f>IF(LEFT(D60,4)*1&lt;LEFT('General inputs'!$I$16,4)*1,"",IF(LEFT(D60,4)*1&gt;LEFT('General inputs'!$I$16,4)+'General inputs'!$H$38-1,"",E60/(1+'General inputs'!$H$34)^C60))</f>
        <v/>
      </c>
      <c r="J60" s="114"/>
      <c r="K60" s="114"/>
      <c r="L60" s="84">
        <f>IF(LEFT(D60,4)*1&gt;LEFT('General inputs'!$I$18,4)*1,"",SUMIF('Post-1996 commissioned assets'!$F$22:$F$222,$D60,'Post-1996 commissioned assets'!$P$22:$P$222))</f>
        <v>92393.813976956197</v>
      </c>
      <c r="M60" s="84">
        <f>IF(L60="","",L60/(1+'General inputs'!$H$32)^C60)</f>
        <v>115235.90376935038</v>
      </c>
      <c r="N60" s="84" t="str">
        <f>IF(LEFT(D60,4)*1&lt;LEFT('General inputs'!$I$18,4)*1+1,"",SUMIF('Uncommissioned assets'!$F$22:$F$218,$D60,'Uncommissioned assets'!$P$22:$P$218))</f>
        <v/>
      </c>
      <c r="O60" s="84" t="str">
        <f>IF(N60="","",N60/(1+'General inputs'!$H$32)^C60)</f>
        <v/>
      </c>
      <c r="Q60" s="89"/>
      <c r="R60" s="84" t="str">
        <f>IF(OR(LEFT(D60,4)*1&lt;LEFT('General inputs'!$I$16,4)*1,LEFT(D60,4)*1&gt;LEFT('General inputs'!$I$16,4)+'General inputs'!$H$38-1),"",Q60/(1+'General inputs'!$H$34)^C60)</f>
        <v/>
      </c>
      <c r="T60" s="89"/>
      <c r="U60" s="84" t="str">
        <f>IF(OR(LEFT(D60,4)*1&lt;LEFT('General inputs'!$I$16,4)*1,LEFT(D60,4)*1&gt;LEFT('General inputs'!$I$16,4)+'General inputs'!$H$38-1),"",T60/(1+'General inputs'!$H$34)^C60)</f>
        <v/>
      </c>
      <c r="V60" s="56"/>
      <c r="X60" s="38"/>
      <c r="Y60" s="38"/>
      <c r="Z60" s="38"/>
    </row>
    <row r="61" spans="2:26" x14ac:dyDescent="0.25">
      <c r="B61" s="55"/>
      <c r="C61" s="28">
        <f>IF(D61='General inputs'!$I$16,0,IF(D61&lt;'General inputs'!$I$16,C62-1,C60+1))</f>
        <v>-7</v>
      </c>
      <c r="D61" s="28" t="str">
        <f t="shared" si="1"/>
        <v>2017-18</v>
      </c>
      <c r="E61" s="84">
        <f>IF(LEFT(D61,4)*1&gt;LEFT('General inputs'!$I$16,4)+'General inputs'!$H$38-1,"",'ET inputs'!D34)</f>
        <v>806</v>
      </c>
      <c r="F61" s="84">
        <f>IF(LEFT(D61,4)*1&gt;LEFT('General inputs'!$I$16,4)+'General inputs'!$H$38-1,"",E61/(1+'General inputs'!$H$30)^C61)</f>
        <v>806</v>
      </c>
      <c r="G61" s="84">
        <f>IF(LEFT(D61,4)*1&gt;LEFT('General inputs'!$I$16,4)+'General inputs'!$H$38-1,"",E61/(1+'General inputs'!$H$32)^C61)</f>
        <v>977.88288339814926</v>
      </c>
      <c r="H61" s="84" t="str">
        <f>IF(LEFT(D61,4)*1&lt;LEFT('General inputs'!$I$16,4)*1,"",IF(LEFT(D61,4)*1&gt;LEFT('General inputs'!$I$16,4)+'General inputs'!$H$38-1,"",E61/(1+'General inputs'!$H$34)^C61))</f>
        <v/>
      </c>
      <c r="J61" s="114"/>
      <c r="K61" s="114"/>
      <c r="L61" s="84">
        <f>IF(LEFT(D61,4)*1&gt;LEFT('General inputs'!$I$18,4)*1,"",SUMIF('Post-1996 commissioned assets'!$F$22:$F$222,$D61,'Post-1996 commissioned assets'!$P$22:$P$222))</f>
        <v>234996.07908250391</v>
      </c>
      <c r="M61" s="84">
        <f>IF(L61="","",L61/(1+'General inputs'!$H$32)^C61)</f>
        <v>285109.97940503526</v>
      </c>
      <c r="N61" s="84" t="str">
        <f>IF(LEFT(D61,4)*1&lt;LEFT('General inputs'!$I$18,4)*1+1,"",SUMIF('Uncommissioned assets'!$F$22:$F$218,$D61,'Uncommissioned assets'!$P$22:$P$218))</f>
        <v/>
      </c>
      <c r="O61" s="84" t="str">
        <f>IF(N61="","",N61/(1+'General inputs'!$H$32)^C61)</f>
        <v/>
      </c>
      <c r="Q61" s="89"/>
      <c r="R61" s="84" t="str">
        <f>IF(OR(LEFT(D61,4)*1&lt;LEFT('General inputs'!$I$16,4)*1,LEFT(D61,4)*1&gt;LEFT('General inputs'!$I$16,4)+'General inputs'!$H$38-1),"",Q61/(1+'General inputs'!$H$34)^C61)</f>
        <v/>
      </c>
      <c r="T61" s="89"/>
      <c r="U61" s="84" t="str">
        <f>IF(OR(LEFT(D61,4)*1&lt;LEFT('General inputs'!$I$16,4)*1,LEFT(D61,4)*1&gt;LEFT('General inputs'!$I$16,4)+'General inputs'!$H$38-1),"",T61/(1+'General inputs'!$H$34)^C61)</f>
        <v/>
      </c>
      <c r="V61" s="56"/>
    </row>
    <row r="62" spans="2:26" x14ac:dyDescent="0.25">
      <c r="B62" s="55"/>
      <c r="C62" s="28">
        <f>IF(D62='General inputs'!$I$16,0,IF(D62&lt;'General inputs'!$I$16,C63-1,C61+1))</f>
        <v>-6</v>
      </c>
      <c r="D62" s="28" t="str">
        <f t="shared" si="1"/>
        <v>2018-19</v>
      </c>
      <c r="E62" s="84">
        <f>IF(LEFT(D62,4)*1&gt;LEFT('General inputs'!$I$16,4)+'General inputs'!$H$38-1,"",'ET inputs'!D35)</f>
        <v>849</v>
      </c>
      <c r="F62" s="84">
        <f>IF(LEFT(D62,4)*1&gt;LEFT('General inputs'!$I$16,4)+'General inputs'!$H$38-1,"",E62/(1+'General inputs'!$H$30)^C62)</f>
        <v>849</v>
      </c>
      <c r="G62" s="84">
        <f>IF(LEFT(D62,4)*1&gt;LEFT('General inputs'!$I$16,4)+'General inputs'!$H$38-1,"",E62/(1+'General inputs'!$H$32)^C62)</f>
        <v>1001.9969006828994</v>
      </c>
      <c r="H62" s="84" t="str">
        <f>IF(LEFT(D62,4)*1&lt;LEFT('General inputs'!$I$16,4)*1,"",IF(LEFT(D62,4)*1&gt;LEFT('General inputs'!$I$16,4)+'General inputs'!$H$38-1,"",E62/(1+'General inputs'!$H$34)^C62))</f>
        <v/>
      </c>
      <c r="J62" s="114"/>
      <c r="K62" s="114"/>
      <c r="L62" s="84">
        <f>IF(LEFT(D62,4)*1&gt;LEFT('General inputs'!$I$18,4)*1,"",SUMIF('Post-1996 commissioned assets'!$F$22:$F$222,$D62,'Post-1996 commissioned assets'!$P$22:$P$222))</f>
        <v>233381.84816177271</v>
      </c>
      <c r="M62" s="84">
        <f>IF(L62="","",L62/(1+'General inputs'!$H$32)^C62)</f>
        <v>275439.20910923829</v>
      </c>
      <c r="N62" s="84" t="str">
        <f>IF(LEFT(D62,4)*1&lt;LEFT('General inputs'!$I$18,4)*1+1,"",SUMIF('Uncommissioned assets'!$F$22:$F$218,$D62,'Uncommissioned assets'!$P$22:$P$218))</f>
        <v/>
      </c>
      <c r="O62" s="84" t="str">
        <f>IF(N62="","",N62/(1+'General inputs'!$H$32)^C62)</f>
        <v/>
      </c>
      <c r="Q62" s="89"/>
      <c r="R62" s="84" t="str">
        <f>IF(OR(LEFT(D62,4)*1&lt;LEFT('General inputs'!$I$16,4)*1,LEFT(D62,4)*1&gt;LEFT('General inputs'!$I$16,4)+'General inputs'!$H$38-1),"",Q62/(1+'General inputs'!$H$34)^C62)</f>
        <v/>
      </c>
      <c r="T62" s="89"/>
      <c r="U62" s="84" t="str">
        <f>IF(OR(LEFT(D62,4)*1&lt;LEFT('General inputs'!$I$16,4)*1,LEFT(D62,4)*1&gt;LEFT('General inputs'!$I$16,4)+'General inputs'!$H$38-1),"",T62/(1+'General inputs'!$H$34)^C62)</f>
        <v/>
      </c>
      <c r="V62" s="56"/>
    </row>
    <row r="63" spans="2:26" x14ac:dyDescent="0.25">
      <c r="B63" s="55"/>
      <c r="C63" s="28">
        <f>IF(D63='General inputs'!$I$16,0,IF(D63&lt;'General inputs'!$I$16,C64-1,C62+1))</f>
        <v>-5</v>
      </c>
      <c r="D63" s="28" t="str">
        <f t="shared" si="1"/>
        <v>2019-20</v>
      </c>
      <c r="E63" s="84">
        <f>IF(LEFT(D63,4)*1&gt;LEFT('General inputs'!$I$16,4)+'General inputs'!$H$38-1,"",'ET inputs'!D36)</f>
        <v>849</v>
      </c>
      <c r="F63" s="84">
        <f>IF(LEFT(D63,4)*1&gt;LEFT('General inputs'!$I$16,4)+'General inputs'!$H$38-1,"",E63/(1+'General inputs'!$H$30)^C63)</f>
        <v>849</v>
      </c>
      <c r="G63" s="84">
        <f>IF(LEFT(D63,4)*1&gt;LEFT('General inputs'!$I$16,4)+'General inputs'!$H$38-1,"",E63/(1+'General inputs'!$H$32)^C63)</f>
        <v>974.70515630632246</v>
      </c>
      <c r="H63" s="84" t="str">
        <f>IF(LEFT(D63,4)*1&lt;LEFT('General inputs'!$I$16,4)*1,"",IF(LEFT(D63,4)*1&gt;LEFT('General inputs'!$I$16,4)+'General inputs'!$H$38-1,"",E63/(1+'General inputs'!$H$34)^C63))</f>
        <v/>
      </c>
      <c r="J63" s="114"/>
      <c r="K63" s="114"/>
      <c r="L63" s="84">
        <f>IF(LEFT(D63,4)*1&gt;LEFT('General inputs'!$I$18,4)*1,"",SUMIF('Post-1996 commissioned assets'!$F$22:$F$222,$D63,'Post-1996 commissioned assets'!$P$22:$P$222))</f>
        <v>116168.09337782401</v>
      </c>
      <c r="M63" s="84">
        <f>IF(L63="","",L63/(1+'General inputs'!$H$32)^C63)</f>
        <v>133368.24453903348</v>
      </c>
      <c r="N63" s="84" t="str">
        <f>IF(LEFT(D63,4)*1&lt;LEFT('General inputs'!$I$18,4)*1+1,"",SUMIF('Uncommissioned assets'!$F$22:$F$218,$D63,'Uncommissioned assets'!$P$22:$P$218))</f>
        <v/>
      </c>
      <c r="O63" s="84" t="str">
        <f>IF(N63="","",N63/(1+'General inputs'!$H$32)^C63)</f>
        <v/>
      </c>
      <c r="Q63" s="89"/>
      <c r="R63" s="84" t="str">
        <f>IF(OR(LEFT(D63,4)*1&lt;LEFT('General inputs'!$I$16,4)*1,LEFT(D63,4)*1&gt;LEFT('General inputs'!$I$16,4)+'General inputs'!$H$38-1),"",Q63/(1+'General inputs'!$H$34)^C63)</f>
        <v/>
      </c>
      <c r="T63" s="89"/>
      <c r="U63" s="84" t="str">
        <f>IF(OR(LEFT(D63,4)*1&lt;LEFT('General inputs'!$I$16,4)*1,LEFT(D63,4)*1&gt;LEFT('General inputs'!$I$16,4)+'General inputs'!$H$38-1),"",T63/(1+'General inputs'!$H$34)^C63)</f>
        <v/>
      </c>
      <c r="V63" s="56"/>
    </row>
    <row r="64" spans="2:26" x14ac:dyDescent="0.25">
      <c r="B64" s="55"/>
      <c r="C64" s="28">
        <f>IF(D64='General inputs'!$I$16,0,IF(D64&lt;'General inputs'!$I$16,C65-1,C63+1))</f>
        <v>-4</v>
      </c>
      <c r="D64" s="28" t="str">
        <f t="shared" si="1"/>
        <v>2020-21</v>
      </c>
      <c r="E64" s="84">
        <f>IF(LEFT(D64,4)*1&gt;LEFT('General inputs'!$I$16,4)+'General inputs'!$H$38-1,"",'ET inputs'!D37)</f>
        <v>783</v>
      </c>
      <c r="F64" s="84">
        <f>IF(LEFT(D64,4)*1&gt;LEFT('General inputs'!$I$16,4)+'General inputs'!$H$38-1,"",E64/(1+'General inputs'!$H$30)^C64)</f>
        <v>783</v>
      </c>
      <c r="G64" s="84">
        <f>IF(LEFT(D64,4)*1&gt;LEFT('General inputs'!$I$16,4)+'General inputs'!$H$38-1,"",E64/(1+'General inputs'!$H$32)^C64)</f>
        <v>874.44846693964803</v>
      </c>
      <c r="H64" s="84" t="str">
        <f>IF(LEFT(D64,4)*1&lt;LEFT('General inputs'!$I$16,4)*1,"",IF(LEFT(D64,4)*1&gt;LEFT('General inputs'!$I$16,4)+'General inputs'!$H$38-1,"",E64/(1+'General inputs'!$H$34)^C64))</f>
        <v/>
      </c>
      <c r="J64" s="114"/>
      <c r="K64" s="114"/>
      <c r="L64" s="84">
        <f>IF(LEFT(D64,4)*1&gt;LEFT('General inputs'!$I$18,4)*1,"",SUMIF('Post-1996 commissioned assets'!$F$22:$F$222,$D64,'Post-1996 commissioned assets'!$P$22:$P$222))</f>
        <v>20686731.769824293</v>
      </c>
      <c r="M64" s="84">
        <f>IF(L64="","",L64/(1+'General inputs'!$H$32)^C64)</f>
        <v>23102785.290056914</v>
      </c>
      <c r="N64" s="84" t="str">
        <f>IF(LEFT(D64,4)*1&lt;LEFT('General inputs'!$I$18,4)*1+1,"",SUMIF('Uncommissioned assets'!$F$22:$F$218,$D64,'Uncommissioned assets'!$P$22:$P$218))</f>
        <v/>
      </c>
      <c r="O64" s="84" t="str">
        <f>IF(N64="","",N64/(1+'General inputs'!$H$32)^C64)</f>
        <v/>
      </c>
      <c r="Q64" s="89"/>
      <c r="R64" s="84" t="str">
        <f>IF(OR(LEFT(D64,4)*1&lt;LEFT('General inputs'!$I$16,4)*1,LEFT(D64,4)*1&gt;LEFT('General inputs'!$I$16,4)+'General inputs'!$H$38-1),"",Q64/(1+'General inputs'!$H$34)^C64)</f>
        <v/>
      </c>
      <c r="T64" s="89"/>
      <c r="U64" s="84" t="str">
        <f>IF(OR(LEFT(D64,4)*1&lt;LEFT('General inputs'!$I$16,4)*1,LEFT(D64,4)*1&gt;LEFT('General inputs'!$I$16,4)+'General inputs'!$H$38-1),"",T64/(1+'General inputs'!$H$34)^C64)</f>
        <v/>
      </c>
      <c r="V64" s="56"/>
    </row>
    <row r="65" spans="2:22" x14ac:dyDescent="0.25">
      <c r="B65" s="55"/>
      <c r="C65" s="28">
        <f>IF(D65='General inputs'!$I$16,0,IF(D65&lt;'General inputs'!$I$16,C66-1,C64+1))</f>
        <v>-3</v>
      </c>
      <c r="D65" s="28" t="str">
        <f t="shared" si="1"/>
        <v>2021-22</v>
      </c>
      <c r="E65" s="84">
        <f>IF(LEFT(D65,4)*1&gt;LEFT('General inputs'!$I$16,4)+'General inputs'!$H$38-1,"",'ET inputs'!D38)</f>
        <v>501</v>
      </c>
      <c r="F65" s="84">
        <f>IF(LEFT(D65,4)*1&gt;LEFT('General inputs'!$I$16,4)+'General inputs'!$H$38-1,"",E65/(1+'General inputs'!$H$30)^C65)</f>
        <v>501</v>
      </c>
      <c r="G65" s="84">
        <f>IF(LEFT(D65,4)*1&gt;LEFT('General inputs'!$I$16,4)+'General inputs'!$H$38-1,"",E65/(1+'General inputs'!$H$32)^C65)</f>
        <v>544.27334995199999</v>
      </c>
      <c r="H65" s="84" t="str">
        <f>IF(LEFT(D65,4)*1&lt;LEFT('General inputs'!$I$16,4)*1,"",IF(LEFT(D65,4)*1&gt;LEFT('General inputs'!$I$16,4)+'General inputs'!$H$38-1,"",E65/(1+'General inputs'!$H$34)^C65))</f>
        <v/>
      </c>
      <c r="J65" s="114"/>
      <c r="K65" s="114"/>
      <c r="L65" s="84">
        <f>IF(LEFT(D65,4)*1&gt;LEFT('General inputs'!$I$18,4)*1,"",SUMIF('Post-1996 commissioned assets'!$F$22:$F$222,$D65,'Post-1996 commissioned assets'!$P$22:$P$222))</f>
        <v>2250650.4870110704</v>
      </c>
      <c r="M65" s="84">
        <f>IF(L65="","",L65/(1+'General inputs'!$H$32)^C65)</f>
        <v>2445048.064144941</v>
      </c>
      <c r="N65" s="84" t="str">
        <f>IF(LEFT(D65,4)*1&lt;LEFT('General inputs'!$I$18,4)*1+1,"",SUMIF('Uncommissioned assets'!$F$22:$F$218,$D65,'Uncommissioned assets'!$P$22:$P$218))</f>
        <v/>
      </c>
      <c r="O65" s="84" t="str">
        <f>IF(N65="","",N65/(1+'General inputs'!$H$32)^C65)</f>
        <v/>
      </c>
      <c r="Q65" s="89"/>
      <c r="R65" s="84" t="str">
        <f>IF(OR(LEFT(D65,4)*1&lt;LEFT('General inputs'!$I$16,4)*1,LEFT(D65,4)*1&gt;LEFT('General inputs'!$I$16,4)+'General inputs'!$H$38-1),"",Q65/(1+'General inputs'!$H$34)^C65)</f>
        <v/>
      </c>
      <c r="T65" s="89"/>
      <c r="U65" s="84" t="str">
        <f>IF(OR(LEFT(D65,4)*1&lt;LEFT('General inputs'!$I$16,4)*1,LEFT(D65,4)*1&gt;LEFT('General inputs'!$I$16,4)+'General inputs'!$H$38-1),"",T65/(1+'General inputs'!$H$34)^C65)</f>
        <v/>
      </c>
      <c r="V65" s="56"/>
    </row>
    <row r="66" spans="2:22" x14ac:dyDescent="0.25">
      <c r="B66" s="55"/>
      <c r="C66" s="28">
        <f>IF(D66='General inputs'!$I$16,0,IF(D66&lt;'General inputs'!$I$16,C67-1,C65+1))</f>
        <v>-2</v>
      </c>
      <c r="D66" s="28" t="str">
        <f t="shared" si="1"/>
        <v>2022-23</v>
      </c>
      <c r="E66" s="84">
        <f>IF(LEFT(D66,4)*1&gt;LEFT('General inputs'!$I$16,4)+'General inputs'!$H$38-1,"",'ET inputs'!D39)</f>
        <v>551</v>
      </c>
      <c r="F66" s="84">
        <f>IF(LEFT(D66,4)*1&gt;LEFT('General inputs'!$I$16,4)+'General inputs'!$H$38-1,"",E66/(1+'General inputs'!$H$30)^C66)</f>
        <v>551</v>
      </c>
      <c r="G66" s="84">
        <f>IF(LEFT(D66,4)*1&gt;LEFT('General inputs'!$I$16,4)+'General inputs'!$H$38-1,"",E66/(1+'General inputs'!$H$32)^C66)</f>
        <v>582.28798399999994</v>
      </c>
      <c r="H66" s="84" t="str">
        <f>IF(LEFT(D66,4)*1&lt;LEFT('General inputs'!$I$16,4)*1,"",IF(LEFT(D66,4)*1&gt;LEFT('General inputs'!$I$16,4)+'General inputs'!$H$38-1,"",E66/(1+'General inputs'!$H$34)^C66))</f>
        <v/>
      </c>
      <c r="J66" s="114"/>
      <c r="K66" s="114"/>
      <c r="L66" s="84">
        <f>IF(LEFT(D66,4)*1&gt;LEFT('General inputs'!$I$18,4)*1,"",SUMIF('Post-1996 commissioned assets'!$F$22:$F$222,$D66,'Post-1996 commissioned assets'!$P$22:$P$222))</f>
        <v>267190.89077133493</v>
      </c>
      <c r="M66" s="84">
        <f>IF(L66="","",L66/(1+'General inputs'!$H$32)^C66)</f>
        <v>282363.05831289443</v>
      </c>
      <c r="N66" s="84" t="str">
        <f>IF(LEFT(D66,4)*1&lt;LEFT('General inputs'!$I$18,4)*1+1,"",SUMIF('Uncommissioned assets'!$F$22:$F$218,$D66,'Uncommissioned assets'!$P$22:$P$218))</f>
        <v/>
      </c>
      <c r="O66" s="84" t="str">
        <f>IF(N66="","",N66/(1+'General inputs'!$H$32)^C66)</f>
        <v/>
      </c>
      <c r="Q66" s="89"/>
      <c r="R66" s="84" t="str">
        <f>IF(OR(LEFT(D66,4)*1&lt;LEFT('General inputs'!$I$16,4)*1,LEFT(D66,4)*1&gt;LEFT('General inputs'!$I$16,4)+'General inputs'!$H$38-1),"",Q66/(1+'General inputs'!$H$34)^C66)</f>
        <v/>
      </c>
      <c r="T66" s="89"/>
      <c r="U66" s="84" t="str">
        <f>IF(OR(LEFT(D66,4)*1&lt;LEFT('General inputs'!$I$16,4)*1,LEFT(D66,4)*1&gt;LEFT('General inputs'!$I$16,4)+'General inputs'!$H$38-1),"",T66/(1+'General inputs'!$H$34)^C66)</f>
        <v/>
      </c>
      <c r="V66" s="56"/>
    </row>
    <row r="67" spans="2:22" x14ac:dyDescent="0.25">
      <c r="B67" s="55"/>
      <c r="C67" s="28">
        <f>IF(D67='General inputs'!$I$16,0,IF(D67&lt;'General inputs'!$I$16,C68-1,C66+1))</f>
        <v>-1</v>
      </c>
      <c r="D67" s="28" t="str">
        <f t="shared" si="1"/>
        <v>2023-24</v>
      </c>
      <c r="E67" s="84">
        <f>IF(LEFT(D67,4)*1&gt;LEFT('General inputs'!$I$16,4)+'General inputs'!$H$38-1,"",'ET inputs'!D40)</f>
        <v>1825</v>
      </c>
      <c r="F67" s="84">
        <f>IF(LEFT(D67,4)*1&gt;LEFT('General inputs'!$I$16,4)+'General inputs'!$H$38-1,"",E67/(1+'General inputs'!$H$30)^C67)</f>
        <v>1825</v>
      </c>
      <c r="G67" s="84">
        <f>IF(LEFT(D67,4)*1&gt;LEFT('General inputs'!$I$16,4)+'General inputs'!$H$38-1,"",E67/(1+'General inputs'!$H$32)^C67)</f>
        <v>1876.1000000000001</v>
      </c>
      <c r="H67" s="84" t="str">
        <f>IF(LEFT(D67,4)*1&lt;LEFT('General inputs'!$I$16,4)*1,"",IF(LEFT(D67,4)*1&gt;LEFT('General inputs'!$I$16,4)+'General inputs'!$H$38-1,"",E67/(1+'General inputs'!$H$34)^C67))</f>
        <v/>
      </c>
      <c r="J67" s="114"/>
      <c r="K67" s="114"/>
      <c r="L67" s="84">
        <f>IF(LEFT(D67,4)*1&gt;LEFT('General inputs'!$I$18,4)*1,"",SUMIF('Post-1996 commissioned assets'!$F$22:$F$222,$D67,'Post-1996 commissioned assets'!$P$22:$P$222))</f>
        <v>741532.58143368212</v>
      </c>
      <c r="M67" s="84">
        <f>IF(L67="","",L67/(1+'General inputs'!$H$32)^C67)</f>
        <v>762295.49371382524</v>
      </c>
      <c r="N67" s="84" t="str">
        <f>IF(LEFT(D67,4)*1&lt;LEFT('General inputs'!$I$18,4)*1+1,"",SUMIF('Uncommissioned assets'!$F$22:$F$218,$D67,'Uncommissioned assets'!$P$22:$P$218))</f>
        <v/>
      </c>
      <c r="O67" s="84" t="str">
        <f>IF(N67="","",N67/(1+'General inputs'!$H$32)^C67)</f>
        <v/>
      </c>
      <c r="Q67" s="89"/>
      <c r="R67" s="84" t="str">
        <f>IF(OR(LEFT(D67,4)*1&lt;LEFT('General inputs'!$I$16,4)*1,LEFT(D67,4)*1&gt;LEFT('General inputs'!$I$16,4)+'General inputs'!$H$38-1),"",Q67/(1+'General inputs'!$H$34)^C67)</f>
        <v/>
      </c>
      <c r="T67" s="89"/>
      <c r="U67" s="84" t="str">
        <f>IF(OR(LEFT(D67,4)*1&lt;LEFT('General inputs'!$I$16,4)*1,LEFT(D67,4)*1&gt;LEFT('General inputs'!$I$16,4)+'General inputs'!$H$38-1),"",T67/(1+'General inputs'!$H$34)^C67)</f>
        <v/>
      </c>
      <c r="V67" s="56"/>
    </row>
    <row r="68" spans="2:22" x14ac:dyDescent="0.25">
      <c r="B68" s="55"/>
      <c r="C68" s="28">
        <f>IF(D68='General inputs'!$I$16,0,IF(D68&lt;'General inputs'!$I$16,C69-1,C67+1))</f>
        <v>0</v>
      </c>
      <c r="D68" s="28" t="str">
        <f t="shared" si="1"/>
        <v>2024-25</v>
      </c>
      <c r="E68" s="84">
        <f>IF(LEFT(D68,4)*1&gt;LEFT('General inputs'!$I$16,4)+'General inputs'!$H$38-1,"",'ET inputs'!D41)</f>
        <v>1821</v>
      </c>
      <c r="F68" s="84">
        <f>IF(LEFT(D68,4)*1&gt;LEFT('General inputs'!$I$16,4)+'General inputs'!$H$38-1,"",E68/(1+'General inputs'!$H$30)^C68)</f>
        <v>1821</v>
      </c>
      <c r="G68" s="84">
        <f>IF(LEFT(D68,4)*1&gt;LEFT('General inputs'!$I$16,4)+'General inputs'!$H$38-1,"",E68/(1+'General inputs'!$H$32)^C68)</f>
        <v>1821</v>
      </c>
      <c r="H68" s="84">
        <f>IF(LEFT(D68,4)*1&lt;LEFT('General inputs'!$I$16,4)*1,"",IF(LEFT(D68,4)*1&gt;LEFT('General inputs'!$I$16,4)+'General inputs'!$H$38-1,"",E68/(1+'General inputs'!$H$34)^C68))</f>
        <v>1821</v>
      </c>
      <c r="J68" s="114"/>
      <c r="K68" s="114"/>
      <c r="L68" s="84" t="str">
        <f>IF(LEFT(D68,4)*1&gt;LEFT('General inputs'!$I$18,4)*1,"",SUMIF('Post-1996 commissioned assets'!$F$22:$F$222,$D68,'Post-1996 commissioned assets'!$P$22:$P$222))</f>
        <v/>
      </c>
      <c r="M68" s="84" t="str">
        <f>IF(L68="","",L68/(1+'General inputs'!$H$32)^C68)</f>
        <v/>
      </c>
      <c r="N68" s="84">
        <f>IF(LEFT(D68,4)*1&lt;LEFT('General inputs'!$I$18,4)*1+1,"",SUMIF('Uncommissioned assets'!$F$22:$F$218,$D68,'Uncommissioned assets'!$P$22:$P$218))</f>
        <v>0</v>
      </c>
      <c r="O68" s="84">
        <f>IF(N68="","",N68/(1+'General inputs'!$H$32)^C68)</f>
        <v>0</v>
      </c>
      <c r="Q68" s="89">
        <v>1296530.3301000001</v>
      </c>
      <c r="R68" s="84">
        <f>IF(OR(LEFT(D68,4)*1&lt;LEFT('General inputs'!$I$16,4)*1,LEFT(D68,4)*1&gt;LEFT('General inputs'!$I$16,4)+'General inputs'!$H$38-1),"",Q68/(1+'General inputs'!$H$34)^C68)</f>
        <v>1296530.3301000001</v>
      </c>
      <c r="T68" s="89">
        <v>588986.90241791459</v>
      </c>
      <c r="U68" s="84">
        <f>IF(OR(LEFT(D68,4)*1&lt;LEFT('General inputs'!$I$16,4)*1,LEFT(D68,4)*1&gt;LEFT('General inputs'!$I$16,4)+'General inputs'!$H$38-1),"",T68/(1+'General inputs'!$H$34)^C68)</f>
        <v>588986.90241791459</v>
      </c>
      <c r="V68" s="56"/>
    </row>
    <row r="69" spans="2:22" x14ac:dyDescent="0.25">
      <c r="B69" s="55"/>
      <c r="C69" s="28">
        <f>IF(D69='General inputs'!$I$16,0,IF(D69&lt;'General inputs'!$I$16,C70-1,C68+1))</f>
        <v>1</v>
      </c>
      <c r="D69" s="28" t="str">
        <f t="shared" si="1"/>
        <v>2025-26</v>
      </c>
      <c r="E69" s="84">
        <f>IF(LEFT(D69,4)*1&gt;LEFT('General inputs'!$I$16,4)+'General inputs'!$H$38-1,"",'ET inputs'!D42)</f>
        <v>1829</v>
      </c>
      <c r="F69" s="84">
        <f>IF(LEFT(D69,4)*1&gt;LEFT('General inputs'!$I$16,4)+'General inputs'!$H$38-1,"",E69/(1+'General inputs'!$H$30)^C69)</f>
        <v>1829</v>
      </c>
      <c r="G69" s="84">
        <f>IF(LEFT(D69,4)*1&gt;LEFT('General inputs'!$I$16,4)+'General inputs'!$H$38-1,"",E69/(1+'General inputs'!$H$32)^C69)</f>
        <v>1779.1828793774318</v>
      </c>
      <c r="H69" s="84">
        <f>IF(LEFT(D69,4)*1&lt;LEFT('General inputs'!$I$16,4)*1,"",IF(LEFT(D69,4)*1&gt;LEFT('General inputs'!$I$16,4)+'General inputs'!$H$38-1,"",E69/(1+'General inputs'!$H$34)^C69))</f>
        <v>1779.1828793774318</v>
      </c>
      <c r="J69" s="114"/>
      <c r="K69" s="114"/>
      <c r="L69" s="84" t="str">
        <f>IF(LEFT(D69,4)*1&gt;LEFT('General inputs'!$I$18,4)*1,"",SUMIF('Post-1996 commissioned assets'!$F$22:$F$222,$D69,'Post-1996 commissioned assets'!$P$22:$P$222))</f>
        <v/>
      </c>
      <c r="M69" s="84" t="str">
        <f>IF(L69="","",L69/(1+'General inputs'!$H$32)^C69)</f>
        <v/>
      </c>
      <c r="N69" s="84">
        <f>IF(LEFT(D69,4)*1&lt;LEFT('General inputs'!$I$18,4)*1+1,"",SUMIF('Uncommissioned assets'!$F$22:$F$218,$D69,'Uncommissioned assets'!$P$22:$P$218))</f>
        <v>1173441.2529541284</v>
      </c>
      <c r="O69" s="84">
        <f>IF(N69="","",N69/(1+'General inputs'!$H$32)^C69)</f>
        <v>1141479.8180487631</v>
      </c>
      <c r="Q69" s="89">
        <v>2625509.2400000002</v>
      </c>
      <c r="R69" s="84">
        <f>IF(OR(LEFT(D69,4)*1&lt;LEFT('General inputs'!$I$16,4)*1,LEFT(D69,4)*1&gt;LEFT('General inputs'!$I$16,4)+'General inputs'!$H$38-1),"",Q69/(1+'General inputs'!$H$34)^C69)</f>
        <v>2553997.3151750974</v>
      </c>
      <c r="T69" s="89">
        <v>1164257.477495237</v>
      </c>
      <c r="U69" s="84">
        <f>IF(OR(LEFT(D69,4)*1&lt;LEFT('General inputs'!$I$16,4)*1,LEFT(D69,4)*1&gt;LEFT('General inputs'!$I$16,4)+'General inputs'!$H$38-1),"",T69/(1+'General inputs'!$H$34)^C69)</f>
        <v>1132546.1843338881</v>
      </c>
      <c r="V69" s="56"/>
    </row>
    <row r="70" spans="2:22" x14ac:dyDescent="0.25">
      <c r="B70" s="55"/>
      <c r="C70" s="28">
        <f>IF(D70='General inputs'!$I$16,0,IF(D70&lt;'General inputs'!$I$16,C71-1,C69+1))</f>
        <v>2</v>
      </c>
      <c r="D70" s="28" t="str">
        <f t="shared" si="1"/>
        <v>2026-27</v>
      </c>
      <c r="E70" s="84">
        <f>IF(LEFT(D70,4)*1&gt;LEFT('General inputs'!$I$16,4)+'General inputs'!$H$38-1,"",'ET inputs'!D43)</f>
        <v>1924</v>
      </c>
      <c r="F70" s="84">
        <f>IF(LEFT(D70,4)*1&gt;LEFT('General inputs'!$I$16,4)+'General inputs'!$H$38-1,"",E70/(1+'General inputs'!$H$30)^C70)</f>
        <v>1924</v>
      </c>
      <c r="G70" s="84">
        <f>IF(LEFT(D70,4)*1&gt;LEFT('General inputs'!$I$16,4)+'General inputs'!$H$38-1,"",E70/(1+'General inputs'!$H$32)^C70)</f>
        <v>1820.618026010992</v>
      </c>
      <c r="H70" s="84">
        <f>IF(LEFT(D70,4)*1&lt;LEFT('General inputs'!$I$16,4)*1,"",IF(LEFT(D70,4)*1&gt;LEFT('General inputs'!$I$16,4)+'General inputs'!$H$38-1,"",E70/(1+'General inputs'!$H$34)^C70))</f>
        <v>1820.618026010992</v>
      </c>
      <c r="J70" s="114"/>
      <c r="K70" s="114"/>
      <c r="L70" s="84" t="str">
        <f>IF(LEFT(D70,4)*1&gt;LEFT('General inputs'!$I$18,4)*1,"",SUMIF('Post-1996 commissioned assets'!$F$22:$F$222,$D70,'Post-1996 commissioned assets'!$P$22:$P$222))</f>
        <v/>
      </c>
      <c r="M70" s="84" t="str">
        <f>IF(L70="","",L70/(1+'General inputs'!$H$32)^C70)</f>
        <v/>
      </c>
      <c r="N70" s="84">
        <f>IF(LEFT(D70,4)*1&lt;LEFT('General inputs'!$I$18,4)*1+1,"",SUMIF('Uncommissioned assets'!$F$22:$F$218,$D70,'Uncommissioned assets'!$P$22:$P$218))</f>
        <v>726589.00987480511</v>
      </c>
      <c r="O70" s="84">
        <f>IF(N70="","",N70/(1+'General inputs'!$H$32)^C70)</f>
        <v>687547.32270246814</v>
      </c>
      <c r="Q70" s="89">
        <v>4009476.3024000004</v>
      </c>
      <c r="R70" s="84">
        <f>IF(OR(LEFT(D70,4)*1&lt;LEFT('General inputs'!$I$16,4)*1,LEFT(D70,4)*1&gt;LEFT('General inputs'!$I$16,4)+'General inputs'!$H$38-1),"",Q70/(1+'General inputs'!$H$34)^C70)</f>
        <v>3794035.7749549584</v>
      </c>
      <c r="T70" s="89">
        <v>1777964.7067283427</v>
      </c>
      <c r="U70" s="84">
        <f>IF(OR(LEFT(D70,4)*1&lt;LEFT('General inputs'!$I$16,4)*1,LEFT(D70,4)*1&gt;LEFT('General inputs'!$I$16,4)+'General inputs'!$H$38-1),"",T70/(1+'General inputs'!$H$34)^C70)</f>
        <v>1682429.6230150559</v>
      </c>
      <c r="V70" s="56"/>
    </row>
    <row r="71" spans="2:22" x14ac:dyDescent="0.25">
      <c r="B71" s="55"/>
      <c r="C71" s="28">
        <f>IF(D71='General inputs'!$I$16,0,IF(D71&lt;'General inputs'!$I$16,C72-1,C70+1))</f>
        <v>3</v>
      </c>
      <c r="D71" s="28" t="str">
        <f t="shared" si="1"/>
        <v>2027-28</v>
      </c>
      <c r="E71" s="84">
        <f>IF(LEFT(D71,4)*1&gt;LEFT('General inputs'!$I$16,4)+'General inputs'!$H$38-1,"",'ET inputs'!D44)</f>
        <v>1910</v>
      </c>
      <c r="F71" s="84">
        <f>IF(LEFT(D71,4)*1&gt;LEFT('General inputs'!$I$16,4)+'General inputs'!$H$38-1,"",E71/(1+'General inputs'!$H$30)^C71)</f>
        <v>1910</v>
      </c>
      <c r="G71" s="84">
        <f>IF(LEFT(D71,4)*1&gt;LEFT('General inputs'!$I$16,4)+'General inputs'!$H$38-1,"",E71/(1+'General inputs'!$H$32)^C71)</f>
        <v>1758.1423012616563</v>
      </c>
      <c r="H71" s="84">
        <f>IF(LEFT(D71,4)*1&lt;LEFT('General inputs'!$I$16,4)*1,"",IF(LEFT(D71,4)*1&gt;LEFT('General inputs'!$I$16,4)+'General inputs'!$H$38-1,"",E71/(1+'General inputs'!$H$34)^C71))</f>
        <v>1758.1423012616563</v>
      </c>
      <c r="J71" s="114"/>
      <c r="K71" s="114"/>
      <c r="L71" s="84" t="str">
        <f>IF(LEFT(D71,4)*1&gt;LEFT('General inputs'!$I$18,4)*1,"",SUMIF('Post-1996 commissioned assets'!$F$22:$F$222,$D71,'Post-1996 commissioned assets'!$P$22:$P$222))</f>
        <v/>
      </c>
      <c r="M71" s="84" t="str">
        <f>IF(L71="","",L71/(1+'General inputs'!$H$32)^C71)</f>
        <v/>
      </c>
      <c r="N71" s="84">
        <f>IF(LEFT(D71,4)*1&lt;LEFT('General inputs'!$I$18,4)*1+1,"",SUMIF('Uncommissioned assets'!$F$22:$F$218,$D71,'Uncommissioned assets'!$P$22:$P$218))</f>
        <v>0</v>
      </c>
      <c r="O71" s="84">
        <f>IF(N71="","",N71/(1+'General inputs'!$H$32)^C71)</f>
        <v>0</v>
      </c>
      <c r="Q71" s="89">
        <v>5383372.9184000008</v>
      </c>
      <c r="R71" s="84">
        <f>IF(OR(LEFT(D71,4)*1&lt;LEFT('General inputs'!$I$16,4)*1,LEFT(D71,4)*1&gt;LEFT('General inputs'!$I$16,4)+'General inputs'!$H$38-1),"",Q71/(1+'General inputs'!$H$34)^C71)</f>
        <v>4955358.979741076</v>
      </c>
      <c r="T71" s="89">
        <v>2387206.2908422886</v>
      </c>
      <c r="U71" s="84">
        <f>IF(OR(LEFT(D71,4)*1&lt;LEFT('General inputs'!$I$16,4)*1,LEFT(D71,4)*1&gt;LEFT('General inputs'!$I$16,4)+'General inputs'!$H$38-1),"",T71/(1+'General inputs'!$H$34)^C71)</f>
        <v>2197407.5192501382</v>
      </c>
      <c r="V71" s="56"/>
    </row>
    <row r="72" spans="2:22" x14ac:dyDescent="0.25">
      <c r="B72" s="55"/>
      <c r="C72" s="28">
        <f>IF(D72='General inputs'!$I$16,0,IF(D72&lt;'General inputs'!$I$16,C73-1,C71+1))</f>
        <v>4</v>
      </c>
      <c r="D72" s="28" t="str">
        <f t="shared" si="1"/>
        <v>2028-29</v>
      </c>
      <c r="E72" s="84">
        <f>IF(LEFT(D72,4)*1&gt;LEFT('General inputs'!$I$16,4)+'General inputs'!$H$38-1,"",'ET inputs'!D45)</f>
        <v>2062</v>
      </c>
      <c r="F72" s="84">
        <f>IF(LEFT(D72,4)*1&gt;LEFT('General inputs'!$I$16,4)+'General inputs'!$H$38-1,"",E72/(1+'General inputs'!$H$30)^C72)</f>
        <v>2062</v>
      </c>
      <c r="G72" s="84">
        <f>IF(LEFT(D72,4)*1&gt;LEFT('General inputs'!$I$16,4)+'General inputs'!$H$38-1,"",E72/(1+'General inputs'!$H$32)^C72)</f>
        <v>1846.3592321803812</v>
      </c>
      <c r="H72" s="84">
        <f>IF(LEFT(D72,4)*1&lt;LEFT('General inputs'!$I$16,4)*1,"",IF(LEFT(D72,4)*1&gt;LEFT('General inputs'!$I$16,4)+'General inputs'!$H$38-1,"",E72/(1+'General inputs'!$H$34)^C72))</f>
        <v>1846.3592321803812</v>
      </c>
      <c r="J72" s="114"/>
      <c r="K72" s="114"/>
      <c r="L72" s="84" t="str">
        <f>IF(LEFT(D72,4)*1&gt;LEFT('General inputs'!$I$18,4)*1,"",SUMIF('Post-1996 commissioned assets'!$F$22:$F$222,$D72,'Post-1996 commissioned assets'!$P$22:$P$222))</f>
        <v/>
      </c>
      <c r="M72" s="84" t="str">
        <f>IF(L72="","",L72/(1+'General inputs'!$H$32)^C72)</f>
        <v/>
      </c>
      <c r="N72" s="84">
        <f>IF(LEFT(D72,4)*1&lt;LEFT('General inputs'!$I$18,4)*1+1,"",SUMIF('Uncommissioned assets'!$F$22:$F$218,$D72,'Uncommissioned assets'!$P$22:$P$218))</f>
        <v>1304227.270363407</v>
      </c>
      <c r="O72" s="84">
        <f>IF(N72="","",N72/(1+'General inputs'!$H$32)^C72)</f>
        <v>1167833.2015018887</v>
      </c>
      <c r="Q72" s="89">
        <v>6866605.8096000012</v>
      </c>
      <c r="R72" s="84">
        <f>IF(OR(LEFT(D72,4)*1&lt;LEFT('General inputs'!$I$16,4)*1,LEFT(D72,4)*1&gt;LEFT('General inputs'!$I$16,4)+'General inputs'!$H$38-1),"",Q72/(1+'General inputs'!$H$34)^C72)</f>
        <v>6148506.8042184301</v>
      </c>
      <c r="T72" s="89">
        <v>3044932.0219642553</v>
      </c>
      <c r="U72" s="84">
        <f>IF(OR(LEFT(D72,4)*1&lt;LEFT('General inputs'!$I$16,4)*1,LEFT(D72,4)*1&gt;LEFT('General inputs'!$I$16,4)+'General inputs'!$H$38-1),"",T72/(1+'General inputs'!$H$34)^C72)</f>
        <v>2726497.7449638108</v>
      </c>
      <c r="V72" s="56"/>
    </row>
    <row r="73" spans="2:22" x14ac:dyDescent="0.25">
      <c r="B73" s="55"/>
      <c r="C73" s="28">
        <f>IF(D73='General inputs'!$I$16,0,IF(D73&lt;'General inputs'!$I$16,C74-1,C72+1))</f>
        <v>5</v>
      </c>
      <c r="D73" s="28" t="str">
        <f t="shared" si="1"/>
        <v>2029-30</v>
      </c>
      <c r="E73" s="84">
        <f>IF(LEFT(D73,4)*1&gt;LEFT('General inputs'!$I$16,4)+'General inputs'!$H$38-1,"",'ET inputs'!D46)</f>
        <v>2037</v>
      </c>
      <c r="F73" s="84">
        <f>IF(LEFT(D73,4)*1&gt;LEFT('General inputs'!$I$16,4)+'General inputs'!$H$38-1,"",E73/(1+'General inputs'!$H$30)^C73)</f>
        <v>2037</v>
      </c>
      <c r="G73" s="84">
        <f>IF(LEFT(D73,4)*1&gt;LEFT('General inputs'!$I$16,4)+'General inputs'!$H$38-1,"",E73/(1+'General inputs'!$H$32)^C73)</f>
        <v>1774.2934761458205</v>
      </c>
      <c r="H73" s="84">
        <f>IF(LEFT(D73,4)*1&lt;LEFT('General inputs'!$I$16,4)*1,"",IF(LEFT(D73,4)*1&gt;LEFT('General inputs'!$I$16,4)+'General inputs'!$H$38-1,"",E73/(1+'General inputs'!$H$34)^C73))</f>
        <v>1774.2934761458205</v>
      </c>
      <c r="J73" s="114"/>
      <c r="K73" s="114"/>
      <c r="L73" s="84" t="str">
        <f>IF(LEFT(D73,4)*1&gt;LEFT('General inputs'!$I$18,4)*1,"",SUMIF('Post-1996 commissioned assets'!$F$22:$F$222,$D73,'Post-1996 commissioned assets'!$P$22:$P$222))</f>
        <v/>
      </c>
      <c r="M73" s="84" t="str">
        <f>IF(L73="","",L73/(1+'General inputs'!$H$32)^C73)</f>
        <v/>
      </c>
      <c r="N73" s="84">
        <f>IF(LEFT(D73,4)*1&lt;LEFT('General inputs'!$I$18,4)*1+1,"",SUMIF('Uncommissioned assets'!$F$22:$F$218,$D73,'Uncommissioned assets'!$P$22:$P$218))</f>
        <v>9062995.6167470291</v>
      </c>
      <c r="O73" s="84">
        <f>IF(N73="","",N73/(1+'General inputs'!$H$32)^C73)</f>
        <v>7894164.9470458617</v>
      </c>
      <c r="Q73" s="89">
        <v>8331855.7608000012</v>
      </c>
      <c r="R73" s="84">
        <f>IF(OR(LEFT(D73,4)*1&lt;LEFT('General inputs'!$I$16,4)*1,LEFT(D73,4)*1&gt;LEFT('General inputs'!$I$16,4)+'General inputs'!$H$38-1),"",Q73/(1+'General inputs'!$H$34)^C73)</f>
        <v>7257318.2722510621</v>
      </c>
      <c r="T73" s="89">
        <v>3694683.3868020079</v>
      </c>
      <c r="U73" s="84">
        <f>IF(OR(LEFT(D73,4)*1&lt;LEFT('General inputs'!$I$16,4)*1,LEFT(D73,4)*1&gt;LEFT('General inputs'!$I$16,4)+'General inputs'!$H$38-1),"",T73/(1+'General inputs'!$H$34)^C73)</f>
        <v>3218189.8034497532</v>
      </c>
      <c r="V73" s="56"/>
    </row>
    <row r="74" spans="2:22" x14ac:dyDescent="0.25">
      <c r="B74" s="55"/>
      <c r="C74" s="28">
        <f>IF(D74='General inputs'!$I$16,0,IF(D74&lt;'General inputs'!$I$16,C75-1,C73+1))</f>
        <v>6</v>
      </c>
      <c r="D74" s="28" t="str">
        <f t="shared" si="1"/>
        <v>2030-31</v>
      </c>
      <c r="E74" s="84">
        <f>IF(LEFT(D74,4)*1&gt;LEFT('General inputs'!$I$16,4)+'General inputs'!$H$38-1,"",'ET inputs'!D47)</f>
        <v>1939</v>
      </c>
      <c r="F74" s="84">
        <f>IF(LEFT(D74,4)*1&gt;LEFT('General inputs'!$I$16,4)+'General inputs'!$H$38-1,"",E74/(1+'General inputs'!$H$30)^C74)</f>
        <v>1939</v>
      </c>
      <c r="G74" s="84">
        <f>IF(LEFT(D74,4)*1&gt;LEFT('General inputs'!$I$16,4)+'General inputs'!$H$38-1,"",E74/(1+'General inputs'!$H$32)^C74)</f>
        <v>1642.930231498764</v>
      </c>
      <c r="H74" s="84">
        <f>IF(LEFT(D74,4)*1&lt;LEFT('General inputs'!$I$16,4)*1,"",IF(LEFT(D74,4)*1&gt;LEFT('General inputs'!$I$16,4)+'General inputs'!$H$38-1,"",E74/(1+'General inputs'!$H$34)^C74))</f>
        <v>1642.930231498764</v>
      </c>
      <c r="J74" s="114"/>
      <c r="K74" s="114"/>
      <c r="L74" s="84" t="str">
        <f>IF(LEFT(D74,4)*1&gt;LEFT('General inputs'!$I$18,4)*1,"",SUMIF('Post-1996 commissioned assets'!$F$22:$F$222,$D74,'Post-1996 commissioned assets'!$P$22:$P$222))</f>
        <v/>
      </c>
      <c r="M74" s="84" t="str">
        <f>IF(L74="","",L74/(1+'General inputs'!$H$32)^C74)</f>
        <v/>
      </c>
      <c r="N74" s="84">
        <f>IF(LEFT(D74,4)*1&lt;LEFT('General inputs'!$I$18,4)*1+1,"",SUMIF('Uncommissioned assets'!$F$22:$F$218,$D74,'Uncommissioned assets'!$P$22:$P$218))</f>
        <v>2940194.8855227083</v>
      </c>
      <c r="O74" s="84">
        <f>IF(N74="","",N74/(1+'General inputs'!$H$32)^C74)</f>
        <v>2491250.6776293474</v>
      </c>
      <c r="Q74" s="89">
        <v>9726612.5872000009</v>
      </c>
      <c r="R74" s="84">
        <f>IF(OR(LEFT(D74,4)*1&lt;LEFT('General inputs'!$I$16,4)*1,LEFT(D74,4)*1&gt;LEFT('General inputs'!$I$16,4)+'General inputs'!$H$38-1),"",Q74/(1+'General inputs'!$H$34)^C74)</f>
        <v>8241436.7558469772</v>
      </c>
      <c r="T74" s="89">
        <v>4313175.2358056419</v>
      </c>
      <c r="U74" s="84">
        <f>IF(OR(LEFT(D74,4)*1&lt;LEFT('General inputs'!$I$16,4)*1,LEFT(D74,4)*1&gt;LEFT('General inputs'!$I$16,4)+'General inputs'!$H$38-1),"",T74/(1+'General inputs'!$H$34)^C74)</f>
        <v>3654587.9260736974</v>
      </c>
      <c r="V74" s="56"/>
    </row>
    <row r="75" spans="2:22" x14ac:dyDescent="0.25">
      <c r="B75" s="55"/>
      <c r="C75" s="28">
        <f>IF(D75='General inputs'!$I$16,0,IF(D75&lt;'General inputs'!$I$16,C76-1,C74+1))</f>
        <v>7</v>
      </c>
      <c r="D75" s="28" t="str">
        <f t="shared" si="1"/>
        <v>2031-32</v>
      </c>
      <c r="E75" s="84">
        <f>IF(LEFT(D75,4)*1&gt;LEFT('General inputs'!$I$16,4)+'General inputs'!$H$38-1,"",'ET inputs'!D48)</f>
        <v>1926</v>
      </c>
      <c r="F75" s="84">
        <f>IF(LEFT(D75,4)*1&gt;LEFT('General inputs'!$I$16,4)+'General inputs'!$H$38-1,"",E75/(1+'General inputs'!$H$30)^C75)</f>
        <v>1926</v>
      </c>
      <c r="G75" s="84">
        <f>IF(LEFT(D75,4)*1&gt;LEFT('General inputs'!$I$16,4)+'General inputs'!$H$38-1,"",E75/(1+'General inputs'!$H$32)^C75)</f>
        <v>1587.4661744825241</v>
      </c>
      <c r="H75" s="84">
        <f>IF(LEFT(D75,4)*1&lt;LEFT('General inputs'!$I$16,4)*1,"",IF(LEFT(D75,4)*1&gt;LEFT('General inputs'!$I$16,4)+'General inputs'!$H$38-1,"",E75/(1+'General inputs'!$H$34)^C75))</f>
        <v>1587.4661744825241</v>
      </c>
      <c r="J75" s="114"/>
      <c r="K75" s="114"/>
      <c r="L75" s="84" t="str">
        <f>IF(LEFT(D75,4)*1&gt;LEFT('General inputs'!$I$18,4)*1,"",SUMIF('Post-1996 commissioned assets'!$F$22:$F$222,$D75,'Post-1996 commissioned assets'!$P$22:$P$222))</f>
        <v/>
      </c>
      <c r="M75" s="84" t="str">
        <f>IF(L75="","",L75/(1+'General inputs'!$H$32)^C75)</f>
        <v/>
      </c>
      <c r="N75" s="84">
        <f>IF(LEFT(D75,4)*1&lt;LEFT('General inputs'!$I$18,4)*1+1,"",SUMIF('Uncommissioned assets'!$F$22:$F$218,$D75,'Uncommissioned assets'!$P$22:$P$218))</f>
        <v>0</v>
      </c>
      <c r="O75" s="84">
        <f>IF(N75="","",N75/(1+'General inputs'!$H$32)^C75)</f>
        <v>0</v>
      </c>
      <c r="Q75" s="89">
        <v>11112018.2848</v>
      </c>
      <c r="R75" s="84">
        <f>IF(OR(LEFT(D75,4)*1&lt;LEFT('General inputs'!$I$16,4)*1,LEFT(D75,4)*1&gt;LEFT('General inputs'!$I$16,4)+'General inputs'!$H$38-1),"",Q75/(1+'General inputs'!$H$34)^C75)</f>
        <v>9158854.1834638193</v>
      </c>
      <c r="T75" s="89">
        <v>4927520.4143414851</v>
      </c>
      <c r="U75" s="84">
        <f>IF(OR(LEFT(D75,4)*1&lt;LEFT('General inputs'!$I$16,4)*1,LEFT(D75,4)*1&gt;LEFT('General inputs'!$I$16,4)+'General inputs'!$H$38-1),"",T75/(1+'General inputs'!$H$34)^C75)</f>
        <v>4061408.0902592</v>
      </c>
      <c r="V75" s="56"/>
    </row>
    <row r="76" spans="2:22" x14ac:dyDescent="0.25">
      <c r="B76" s="55"/>
      <c r="C76" s="28">
        <f>IF(D76='General inputs'!$I$16,0,IF(D76&lt;'General inputs'!$I$16,C77-1,C75+1))</f>
        <v>8</v>
      </c>
      <c r="D76" s="28" t="str">
        <f t="shared" si="1"/>
        <v>2032-33</v>
      </c>
      <c r="E76" s="84">
        <f>IF(LEFT(D76,4)*1&gt;LEFT('General inputs'!$I$16,4)+'General inputs'!$H$38-1,"",'ET inputs'!D49)</f>
        <v>1915</v>
      </c>
      <c r="F76" s="84">
        <f>IF(LEFT(D76,4)*1&gt;LEFT('General inputs'!$I$16,4)+'General inputs'!$H$38-1,"",E76/(1+'General inputs'!$H$30)^C76)</f>
        <v>1915</v>
      </c>
      <c r="G76" s="84">
        <f>IF(LEFT(D76,4)*1&gt;LEFT('General inputs'!$I$16,4)+'General inputs'!$H$38-1,"",E76/(1+'General inputs'!$H$32)^C76)</f>
        <v>1535.4082189524233</v>
      </c>
      <c r="H76" s="84">
        <f>IF(LEFT(D76,4)*1&lt;LEFT('General inputs'!$I$16,4)*1,"",IF(LEFT(D76,4)*1&gt;LEFT('General inputs'!$I$16,4)+'General inputs'!$H$38-1,"",E76/(1+'General inputs'!$H$34)^C76))</f>
        <v>1535.4082189524233</v>
      </c>
      <c r="J76" s="114"/>
      <c r="K76" s="114"/>
      <c r="L76" s="84" t="str">
        <f>IF(LEFT(D76,4)*1&gt;LEFT('General inputs'!$I$18,4)*1,"",SUMIF('Post-1996 commissioned assets'!$F$22:$F$222,$D76,'Post-1996 commissioned assets'!$P$22:$P$222))</f>
        <v/>
      </c>
      <c r="M76" s="84" t="str">
        <f>IF(L76="","",L76/(1+'General inputs'!$H$32)^C76)</f>
        <v/>
      </c>
      <c r="N76" s="84">
        <f>IF(LEFT(D76,4)*1&lt;LEFT('General inputs'!$I$18,4)*1+1,"",SUMIF('Uncommissioned assets'!$F$22:$F$218,$D76,'Uncommissioned assets'!$P$22:$P$218))</f>
        <v>0</v>
      </c>
      <c r="O76" s="84">
        <f>IF(N76="","",N76/(1+'General inputs'!$H$32)^C76)</f>
        <v>0</v>
      </c>
      <c r="Q76" s="89">
        <v>12489511.488800002</v>
      </c>
      <c r="R76" s="84">
        <f>IF(OR(LEFT(D76,4)*1&lt;LEFT('General inputs'!$I$16,4)*1,LEFT(D76,4)*1&gt;LEFT('General inputs'!$I$16,4)+'General inputs'!$H$38-1),"",Q76/(1+'General inputs'!$H$34)^C76)</f>
        <v>10013837.384127541</v>
      </c>
      <c r="T76" s="89">
        <v>5538356.8717122739</v>
      </c>
      <c r="U76" s="84">
        <f>IF(OR(LEFT(D76,4)*1&lt;LEFT('General inputs'!$I$16,4)*1,LEFT(D76,4)*1&gt;LEFT('General inputs'!$I$16,4)+'General inputs'!$H$38-1),"",T76/(1+'General inputs'!$H$34)^C76)</f>
        <v>4440542.381367445</v>
      </c>
      <c r="V76" s="56"/>
    </row>
    <row r="77" spans="2:22" x14ac:dyDescent="0.25">
      <c r="B77" s="55"/>
      <c r="C77" s="28">
        <f>IF(D77='General inputs'!$I$16,0,IF(D77&lt;'General inputs'!$I$16,C78-1,C76+1))</f>
        <v>9</v>
      </c>
      <c r="D77" s="28" t="str">
        <f t="shared" si="1"/>
        <v>2033-34</v>
      </c>
      <c r="E77" s="84">
        <f>IF(LEFT(D77,4)*1&gt;LEFT('General inputs'!$I$16,4)+'General inputs'!$H$38-1,"",'ET inputs'!D50)</f>
        <v>1894</v>
      </c>
      <c r="F77" s="84">
        <f>IF(LEFT(D77,4)*1&gt;LEFT('General inputs'!$I$16,4)+'General inputs'!$H$38-1,"",E77/(1+'General inputs'!$H$30)^C77)</f>
        <v>1894</v>
      </c>
      <c r="G77" s="84">
        <f>IF(LEFT(D77,4)*1&gt;LEFT('General inputs'!$I$16,4)+'General inputs'!$H$38-1,"",E77/(1+'General inputs'!$H$32)^C77)</f>
        <v>1477.2089924393176</v>
      </c>
      <c r="H77" s="84">
        <f>IF(LEFT(D77,4)*1&lt;LEFT('General inputs'!$I$16,4)*1,"",IF(LEFT(D77,4)*1&gt;LEFT('General inputs'!$I$16,4)+'General inputs'!$H$38-1,"",E77/(1+'General inputs'!$H$34)^C77))</f>
        <v>1477.2089924393176</v>
      </c>
      <c r="J77" s="114"/>
      <c r="K77" s="114"/>
      <c r="L77" s="84" t="str">
        <f>IF(LEFT(D77,4)*1&gt;LEFT('General inputs'!$I$18,4)*1,"",SUMIF('Post-1996 commissioned assets'!$F$22:$F$222,$D77,'Post-1996 commissioned assets'!$P$22:$P$222))</f>
        <v/>
      </c>
      <c r="M77" s="84" t="str">
        <f>IF(L77="","",L77/(1+'General inputs'!$H$32)^C77)</f>
        <v/>
      </c>
      <c r="N77" s="84">
        <f>IF(LEFT(D77,4)*1&lt;LEFT('General inputs'!$I$18,4)*1+1,"",SUMIF('Uncommissioned assets'!$F$22:$F$218,$D77,'Uncommissioned assets'!$P$22:$P$218))</f>
        <v>0</v>
      </c>
      <c r="O77" s="84">
        <f>IF(N77="","",N77/(1+'General inputs'!$H$32)^C77)</f>
        <v>0</v>
      </c>
      <c r="Q77" s="89">
        <v>13851899.023200002</v>
      </c>
      <c r="R77" s="84">
        <f>IF(OR(LEFT(D77,4)*1&lt;LEFT('General inputs'!$I$16,4)*1,LEFT(D77,4)*1&gt;LEFT('General inputs'!$I$16,4)+'General inputs'!$H$38-1),"",Q77/(1+'General inputs'!$H$34)^C77)</f>
        <v>10803669.376680277</v>
      </c>
      <c r="T77" s="89">
        <v>6142494.8614043221</v>
      </c>
      <c r="U77" s="84">
        <f>IF(OR(LEFT(D77,4)*1&lt;LEFT('General inputs'!$I$16,4)*1,LEFT(D77,4)*1&gt;LEFT('General inputs'!$I$16,4)+'General inputs'!$H$38-1),"",T77/(1+'General inputs'!$H$34)^C77)</f>
        <v>4790785.9795558425</v>
      </c>
      <c r="V77" s="56"/>
    </row>
    <row r="78" spans="2:22" x14ac:dyDescent="0.25">
      <c r="B78" s="55"/>
      <c r="C78" s="28">
        <f>IF(D78='General inputs'!$I$16,0,IF(D78&lt;'General inputs'!$I$16,C79-1,C77+1))</f>
        <v>10</v>
      </c>
      <c r="D78" s="28" t="str">
        <f t="shared" si="1"/>
        <v>2034-35</v>
      </c>
      <c r="E78" s="84">
        <f>IF(LEFT(D78,4)*1&gt;LEFT('General inputs'!$I$16,4)+'General inputs'!$H$38-1,"",'ET inputs'!D51)</f>
        <v>1884</v>
      </c>
      <c r="F78" s="84">
        <f>IF(LEFT(D78,4)*1&gt;LEFT('General inputs'!$I$16,4)+'General inputs'!$H$38-1,"",E78/(1+'General inputs'!$H$30)^C78)</f>
        <v>1884</v>
      </c>
      <c r="G78" s="84">
        <f>IF(LEFT(D78,4)*1&gt;LEFT('General inputs'!$I$16,4)+'General inputs'!$H$38-1,"",E78/(1+'General inputs'!$H$32)^C78)</f>
        <v>1429.3867495529989</v>
      </c>
      <c r="H78" s="84">
        <f>IF(LEFT(D78,4)*1&lt;LEFT('General inputs'!$I$16,4)*1,"",IF(LEFT(D78,4)*1&gt;LEFT('General inputs'!$I$16,4)+'General inputs'!$H$38-1,"",E78/(1+'General inputs'!$H$34)^C78))</f>
        <v>1429.3867495529989</v>
      </c>
      <c r="J78" s="114"/>
      <c r="K78" s="114"/>
      <c r="L78" s="84" t="str">
        <f>IF(LEFT(D78,4)*1&gt;LEFT('General inputs'!$I$18,4)*1,"",SUMIF('Post-1996 commissioned assets'!$F$22:$F$222,$D78,'Post-1996 commissioned assets'!$P$22:$P$222))</f>
        <v/>
      </c>
      <c r="M78" s="84" t="str">
        <f>IF(L78="","",L78/(1+'General inputs'!$H$32)^C78)</f>
        <v/>
      </c>
      <c r="N78" s="84">
        <f>IF(LEFT(D78,4)*1&lt;LEFT('General inputs'!$I$18,4)*1+1,"",SUMIF('Uncommissioned assets'!$F$22:$F$218,$D78,'Uncommissioned assets'!$P$22:$P$218))</f>
        <v>0</v>
      </c>
      <c r="O78" s="84">
        <f>IF(N78="","",N78/(1+'General inputs'!$H$32)^C78)</f>
        <v>0</v>
      </c>
      <c r="Q78" s="89">
        <v>15207093.381600002</v>
      </c>
      <c r="R78" s="84">
        <f>IF(OR(LEFT(D78,4)*1&lt;LEFT('General inputs'!$I$16,4)*1,LEFT(D78,4)*1&gt;LEFT('General inputs'!$I$16,4)+'General inputs'!$H$38-1),"",Q78/(1+'General inputs'!$H$34)^C78)</f>
        <v>11537589.054604115</v>
      </c>
      <c r="T78" s="89">
        <v>6743443.104582686</v>
      </c>
      <c r="U78" s="84">
        <f>IF(OR(LEFT(D78,4)*1&lt;LEFT('General inputs'!$I$16,4)*1,LEFT(D78,4)*1&gt;LEFT('General inputs'!$I$16,4)+'General inputs'!$H$38-1),"",T78/(1+'General inputs'!$H$34)^C78)</f>
        <v>5116235.7855918417</v>
      </c>
      <c r="V78" s="56"/>
    </row>
    <row r="79" spans="2:22" x14ac:dyDescent="0.25">
      <c r="B79" s="55"/>
      <c r="C79" s="28">
        <f>IF(D79='General inputs'!$I$16,0,IF(D79&lt;'General inputs'!$I$16,C80-1,C78+1))</f>
        <v>11</v>
      </c>
      <c r="D79" s="28" t="str">
        <f t="shared" si="1"/>
        <v>2035-36</v>
      </c>
      <c r="E79" s="84">
        <f>IF(LEFT(D79,4)*1&gt;LEFT('General inputs'!$I$16,4)+'General inputs'!$H$38-1,"",'ET inputs'!D52)</f>
        <v>1839</v>
      </c>
      <c r="F79" s="84">
        <f>IF(LEFT(D79,4)*1&gt;LEFT('General inputs'!$I$16,4)+'General inputs'!$H$38-1,"",E79/(1+'General inputs'!$H$30)^C79)</f>
        <v>1839</v>
      </c>
      <c r="G79" s="84">
        <f>IF(LEFT(D79,4)*1&gt;LEFT('General inputs'!$I$16,4)+'General inputs'!$H$38-1,"",E79/(1+'General inputs'!$H$32)^C79)</f>
        <v>1357.2425547658993</v>
      </c>
      <c r="H79" s="84">
        <f>IF(LEFT(D79,4)*1&lt;LEFT('General inputs'!$I$16,4)*1,"",IF(LEFT(D79,4)*1&gt;LEFT('General inputs'!$I$16,4)+'General inputs'!$H$38-1,"",E79/(1+'General inputs'!$H$34)^C79))</f>
        <v>1357.2425547658993</v>
      </c>
      <c r="J79" s="114"/>
      <c r="K79" s="114"/>
      <c r="L79" s="84" t="str">
        <f>IF(LEFT(D79,4)*1&gt;LEFT('General inputs'!$I$18,4)*1,"",SUMIF('Post-1996 commissioned assets'!$F$22:$F$222,$D79,'Post-1996 commissioned assets'!$P$22:$P$222))</f>
        <v/>
      </c>
      <c r="M79" s="84" t="str">
        <f>IF(L79="","",L79/(1+'General inputs'!$H$32)^C79)</f>
        <v/>
      </c>
      <c r="N79" s="84">
        <f>IF(LEFT(D79,4)*1&lt;LEFT('General inputs'!$I$18,4)*1+1,"",SUMIF('Uncommissioned assets'!$F$22:$F$218,$D79,'Uncommissioned assets'!$P$22:$P$218))</f>
        <v>0</v>
      </c>
      <c r="O79" s="84">
        <f>IF(N79="","",N79/(1+'General inputs'!$H$32)^C79)</f>
        <v>0</v>
      </c>
      <c r="Q79" s="89">
        <v>16529918.448000003</v>
      </c>
      <c r="R79" s="84">
        <f>IF(OR(LEFT(D79,4)*1&lt;LEFT('General inputs'!$I$16,4)*1,LEFT(D79,4)*1&gt;LEFT('General inputs'!$I$16,4)+'General inputs'!$H$38-1),"",Q79/(1+'General inputs'!$H$34)^C79)</f>
        <v>12199624.113341758</v>
      </c>
      <c r="T79" s="89">
        <v>7330037.4884494646</v>
      </c>
      <c r="U79" s="84">
        <f>IF(OR(LEFT(D79,4)*1&lt;LEFT('General inputs'!$I$16,4)*1,LEFT(D79,4)*1&gt;LEFT('General inputs'!$I$16,4)+'General inputs'!$H$38-1),"",T79/(1+'General inputs'!$H$34)^C79)</f>
        <v>5409809.0306432666</v>
      </c>
      <c r="V79" s="56"/>
    </row>
    <row r="80" spans="2:22" x14ac:dyDescent="0.25">
      <c r="B80" s="55"/>
      <c r="C80" s="28">
        <f>IF(D80='General inputs'!$I$16,0,IF(D80&lt;'General inputs'!$I$16,C81-1,C79+1))</f>
        <v>12</v>
      </c>
      <c r="D80" s="28" t="str">
        <f t="shared" si="1"/>
        <v>2036-37</v>
      </c>
      <c r="E80" s="84">
        <f>IF(LEFT(D80,4)*1&gt;LEFT('General inputs'!$I$16,4)+'General inputs'!$H$38-1,"",'ET inputs'!D53)</f>
        <v>1712</v>
      </c>
      <c r="F80" s="84">
        <f>IF(LEFT(D80,4)*1&gt;LEFT('General inputs'!$I$16,4)+'General inputs'!$H$38-1,"",E80/(1+'General inputs'!$H$30)^C80)</f>
        <v>1712</v>
      </c>
      <c r="G80" s="84">
        <f>IF(LEFT(D80,4)*1&gt;LEFT('General inputs'!$I$16,4)+'General inputs'!$H$38-1,"",E80/(1+'General inputs'!$H$32)^C80)</f>
        <v>1229.0976390057294</v>
      </c>
      <c r="H80" s="84">
        <f>IF(LEFT(D80,4)*1&lt;LEFT('General inputs'!$I$16,4)*1,"",IF(LEFT(D80,4)*1&gt;LEFT('General inputs'!$I$16,4)+'General inputs'!$H$38-1,"",E80/(1+'General inputs'!$H$34)^C80))</f>
        <v>1229.0976390057294</v>
      </c>
      <c r="J80" s="114"/>
      <c r="K80" s="114"/>
      <c r="L80" s="84" t="str">
        <f>IF(LEFT(D80,4)*1&gt;LEFT('General inputs'!$I$18,4)*1,"",SUMIF('Post-1996 commissioned assets'!$F$22:$F$222,$D80,'Post-1996 commissioned assets'!$P$22:$P$222))</f>
        <v/>
      </c>
      <c r="M80" s="84" t="str">
        <f>IF(L80="","",L80/(1+'General inputs'!$H$32)^C80)</f>
        <v/>
      </c>
      <c r="N80" s="84">
        <f>IF(LEFT(D80,4)*1&lt;LEFT('General inputs'!$I$18,4)*1+1,"",SUMIF('Uncommissioned assets'!$F$22:$F$218,$D80,'Uncommissioned assets'!$P$22:$P$218))</f>
        <v>416577.69994302175</v>
      </c>
      <c r="O80" s="84">
        <f>IF(N80="","",N80/(1+'General inputs'!$H$32)^C80)</f>
        <v>299073.98800374137</v>
      </c>
      <c r="Q80" s="89">
        <v>17761390.179200001</v>
      </c>
      <c r="R80" s="84">
        <f>IF(OR(LEFT(D80,4)*1&lt;LEFT('General inputs'!$I$16,4)*1,LEFT(D80,4)*1&gt;LEFT('General inputs'!$I$16,4)+'General inputs'!$H$38-1),"",Q80/(1+'General inputs'!$H$34)^C80)</f>
        <v>12751450.195510672</v>
      </c>
      <c r="T80" s="89">
        <v>7876122.0915924357</v>
      </c>
      <c r="U80" s="84">
        <f>IF(OR(LEFT(D80,4)*1&lt;LEFT('General inputs'!$I$16,4)*1,LEFT(D80,4)*1&gt;LEFT('General inputs'!$I$16,4)+'General inputs'!$H$38-1),"",T80/(1+'General inputs'!$H$34)^C80)</f>
        <v>5654511.1374399131</v>
      </c>
      <c r="V80" s="56"/>
    </row>
    <row r="81" spans="2:22" x14ac:dyDescent="0.25">
      <c r="B81" s="55"/>
      <c r="C81" s="28">
        <f>IF(D81='General inputs'!$I$16,0,IF(D81&lt;'General inputs'!$I$16,C82-1,C80+1))</f>
        <v>13</v>
      </c>
      <c r="D81" s="28" t="str">
        <f t="shared" si="1"/>
        <v>2037-38</v>
      </c>
      <c r="E81" s="84">
        <f>IF(LEFT(D81,4)*1&gt;LEFT('General inputs'!$I$16,4)+'General inputs'!$H$38-1,"",'ET inputs'!D54)</f>
        <v>1737</v>
      </c>
      <c r="F81" s="84">
        <f>IF(LEFT(D81,4)*1&gt;LEFT('General inputs'!$I$16,4)+'General inputs'!$H$38-1,"",E81/(1+'General inputs'!$H$30)^C81)</f>
        <v>1737</v>
      </c>
      <c r="G81" s="84">
        <f>IF(LEFT(D81,4)*1&gt;LEFT('General inputs'!$I$16,4)+'General inputs'!$H$38-1,"",E81/(1+'General inputs'!$H$32)^C81)</f>
        <v>1213.0796795752528</v>
      </c>
      <c r="H81" s="84">
        <f>IF(LEFT(D81,4)*1&lt;LEFT('General inputs'!$I$16,4)*1,"",IF(LEFT(D81,4)*1&gt;LEFT('General inputs'!$I$16,4)+'General inputs'!$H$38-1,"",E81/(1+'General inputs'!$H$34)^C81))</f>
        <v>1213.0796795752528</v>
      </c>
      <c r="J81" s="114"/>
      <c r="K81" s="114"/>
      <c r="L81" s="84" t="str">
        <f>IF(LEFT(D81,4)*1&gt;LEFT('General inputs'!$I$18,4)*1,"",SUMIF('Post-1996 commissioned assets'!$F$22:$F$222,$D81,'Post-1996 commissioned assets'!$P$22:$P$222))</f>
        <v/>
      </c>
      <c r="M81" s="84" t="str">
        <f>IF(L81="","",L81/(1+'General inputs'!$H$32)^C81)</f>
        <v/>
      </c>
      <c r="N81" s="84">
        <f>IF(LEFT(D81,4)*1&lt;LEFT('General inputs'!$I$18,4)*1+1,"",SUMIF('Uncommissioned assets'!$F$22:$F$218,$D81,'Uncommissioned assets'!$P$22:$P$218))</f>
        <v>0</v>
      </c>
      <c r="O81" s="84">
        <f>IF(N81="","",N81/(1+'General inputs'!$H$32)^C81)</f>
        <v>0</v>
      </c>
      <c r="Q81" s="89">
        <v>19010844.850400001</v>
      </c>
      <c r="R81" s="84">
        <f>IF(OR(LEFT(D81,4)*1&lt;LEFT('General inputs'!$I$16,4)*1,LEFT(D81,4)*1&gt;LEFT('General inputs'!$I$16,4)+'General inputs'!$H$38-1),"",Q81/(1+'General inputs'!$H$34)^C81)</f>
        <v>13276723.995151456</v>
      </c>
      <c r="T81" s="89">
        <v>8430181.0610196218</v>
      </c>
      <c r="U81" s="84">
        <f>IF(OR(LEFT(D81,4)*1&lt;LEFT('General inputs'!$I$16,4)*1,LEFT(D81,4)*1&gt;LEFT('General inputs'!$I$16,4)+'General inputs'!$H$38-1),"",T81/(1+'General inputs'!$H$34)^C81)</f>
        <v>5887438.8832832742</v>
      </c>
      <c r="V81" s="56"/>
    </row>
    <row r="82" spans="2:22" x14ac:dyDescent="0.25">
      <c r="B82" s="55"/>
      <c r="C82" s="28">
        <f>IF(D82='General inputs'!$I$16,0,IF(D82&lt;'General inputs'!$I$16,C83-1,C81+1))</f>
        <v>14</v>
      </c>
      <c r="D82" s="28" t="str">
        <f t="shared" si="1"/>
        <v>2038-39</v>
      </c>
      <c r="E82" s="84">
        <f>IF(LEFT(D82,4)*1&gt;LEFT('General inputs'!$I$16,4)+'General inputs'!$H$38-1,"",'ET inputs'!D55)</f>
        <v>1761</v>
      </c>
      <c r="F82" s="84">
        <f>IF(LEFT(D82,4)*1&gt;LEFT('General inputs'!$I$16,4)+'General inputs'!$H$38-1,"",E82/(1+'General inputs'!$H$30)^C82)</f>
        <v>1761</v>
      </c>
      <c r="G82" s="84">
        <f>IF(LEFT(D82,4)*1&gt;LEFT('General inputs'!$I$16,4)+'General inputs'!$H$38-1,"",E82/(1+'General inputs'!$H$32)^C82)</f>
        <v>1196.3431044916324</v>
      </c>
      <c r="H82" s="84">
        <f>IF(LEFT(D82,4)*1&lt;LEFT('General inputs'!$I$16,4)*1,"",IF(LEFT(D82,4)*1&gt;LEFT('General inputs'!$I$16,4)+'General inputs'!$H$38-1,"",E82/(1+'General inputs'!$H$34)^C82))</f>
        <v>1196.3431044916324</v>
      </c>
      <c r="J82" s="114"/>
      <c r="K82" s="114"/>
      <c r="L82" s="84" t="str">
        <f>IF(LEFT(D82,4)*1&gt;LEFT('General inputs'!$I$18,4)*1,"",SUMIF('Post-1996 commissioned assets'!$F$22:$F$222,$D82,'Post-1996 commissioned assets'!$P$22:$P$222))</f>
        <v/>
      </c>
      <c r="M82" s="84" t="str">
        <f>IF(L82="","",L82/(1+'General inputs'!$H$32)^C82)</f>
        <v/>
      </c>
      <c r="N82" s="84">
        <f>IF(LEFT(D82,4)*1&lt;LEFT('General inputs'!$I$18,4)*1+1,"",SUMIF('Uncommissioned assets'!$F$22:$F$218,$D82,'Uncommissioned assets'!$P$22:$P$218))</f>
        <v>0</v>
      </c>
      <c r="O82" s="84">
        <f>IF(N82="","",N82/(1+'General inputs'!$H$32)^C82)</f>
        <v>0</v>
      </c>
      <c r="Q82" s="89">
        <v>20277563.144000001</v>
      </c>
      <c r="R82" s="84">
        <f>IF(OR(LEFT(D82,4)*1&lt;LEFT('General inputs'!$I$16,4)*1,LEFT(D82,4)*1&gt;LEFT('General inputs'!$I$16,4)+'General inputs'!$H$38-1),"",Q82/(1+'General inputs'!$H$34)^C82)</f>
        <v>13775651.813298164</v>
      </c>
      <c r="T82" s="89">
        <v>8991895.4220796525</v>
      </c>
      <c r="U82" s="84">
        <f>IF(OR(LEFT(D82,4)*1&lt;LEFT('General inputs'!$I$16,4)*1,LEFT(D82,4)*1&gt;LEFT('General inputs'!$I$16,4)+'General inputs'!$H$38-1),"",T82/(1+'General inputs'!$H$34)^C82)</f>
        <v>6108683.7504343372</v>
      </c>
      <c r="V82" s="56"/>
    </row>
    <row r="83" spans="2:22" x14ac:dyDescent="0.25">
      <c r="B83" s="55"/>
      <c r="C83" s="28">
        <f>IF(D83='General inputs'!$I$16,0,IF(D83&lt;'General inputs'!$I$16,C84-1,C82+1))</f>
        <v>15</v>
      </c>
      <c r="D83" s="28" t="str">
        <f t="shared" si="1"/>
        <v>2039-40</v>
      </c>
      <c r="E83" s="84">
        <f>IF(LEFT(D83,4)*1&gt;LEFT('General inputs'!$I$16,4)+'General inputs'!$H$38-1,"",'ET inputs'!D56)</f>
        <v>1785</v>
      </c>
      <c r="F83" s="84">
        <f>IF(LEFT(D83,4)*1&gt;LEFT('General inputs'!$I$16,4)+'General inputs'!$H$38-1,"",E83/(1+'General inputs'!$H$30)^C83)</f>
        <v>1785</v>
      </c>
      <c r="G83" s="84">
        <f>IF(LEFT(D83,4)*1&gt;LEFT('General inputs'!$I$16,4)+'General inputs'!$H$38-1,"",E83/(1+'General inputs'!$H$32)^C83)</f>
        <v>1179.6182978352654</v>
      </c>
      <c r="H83" s="84">
        <f>IF(LEFT(D83,4)*1&lt;LEFT('General inputs'!$I$16,4)*1,"",IF(LEFT(D83,4)*1&gt;LEFT('General inputs'!$I$16,4)+'General inputs'!$H$38-1,"",E83/(1+'General inputs'!$H$34)^C83))</f>
        <v>1179.6182978352654</v>
      </c>
      <c r="J83" s="114"/>
      <c r="K83" s="114"/>
      <c r="L83" s="84" t="str">
        <f>IF(LEFT(D83,4)*1&gt;LEFT('General inputs'!$I$18,4)*1,"",SUMIF('Post-1996 commissioned assets'!$F$22:$F$222,$D83,'Post-1996 commissioned assets'!$P$22:$P$222))</f>
        <v/>
      </c>
      <c r="M83" s="84" t="str">
        <f>IF(L83="","",L83/(1+'General inputs'!$H$32)^C83)</f>
        <v/>
      </c>
      <c r="N83" s="84">
        <f>IF(LEFT(D83,4)*1&lt;LEFT('General inputs'!$I$18,4)*1+1,"",SUMIF('Uncommissioned assets'!$F$22:$F$218,$D83,'Uncommissioned assets'!$P$22:$P$218))</f>
        <v>0</v>
      </c>
      <c r="O83" s="84">
        <f>IF(N83="","",N83/(1+'General inputs'!$H$32)^C83)</f>
        <v>0</v>
      </c>
      <c r="Q83" s="89">
        <v>21561545.060000002</v>
      </c>
      <c r="R83" s="84">
        <f>IF(OR(LEFT(D83,4)*1&lt;LEFT('General inputs'!$I$16,4)*1,LEFT(D83,4)*1&gt;LEFT('General inputs'!$I$16,4)+'General inputs'!$H$38-1),"",Q83/(1+'General inputs'!$H$34)^C83)</f>
        <v>14248959.710014328</v>
      </c>
      <c r="T83" s="89">
        <v>9561265.1747725271</v>
      </c>
      <c r="U83" s="84">
        <f>IF(OR(LEFT(D83,4)*1&lt;LEFT('General inputs'!$I$16,4)*1,LEFT(D83,4)*1&gt;LEFT('General inputs'!$I$16,4)+'General inputs'!$H$38-1),"",T83/(1+'General inputs'!$H$34)^C83)</f>
        <v>6318567.7034267616</v>
      </c>
      <c r="V83" s="56"/>
    </row>
    <row r="84" spans="2:22" x14ac:dyDescent="0.25">
      <c r="B84" s="55"/>
      <c r="C84" s="28">
        <f>IF(D84='General inputs'!$I$16,0,IF(D84&lt;'General inputs'!$I$16,C85-1,C83+1))</f>
        <v>16</v>
      </c>
      <c r="D84" s="28" t="str">
        <f t="shared" si="1"/>
        <v>2040-41</v>
      </c>
      <c r="E84" s="84">
        <f>IF(LEFT(D84,4)*1&gt;LEFT('General inputs'!$I$16,4)+'General inputs'!$H$38-1,"",'ET inputs'!D57)</f>
        <v>1810</v>
      </c>
      <c r="F84" s="84">
        <f>IF(LEFT(D84,4)*1&gt;LEFT('General inputs'!$I$16,4)+'General inputs'!$H$38-1,"",E84/(1+'General inputs'!$H$30)^C84)</f>
        <v>1810</v>
      </c>
      <c r="G84" s="84">
        <f>IF(LEFT(D84,4)*1&gt;LEFT('General inputs'!$I$16,4)+'General inputs'!$H$38-1,"",E84/(1+'General inputs'!$H$32)^C84)</f>
        <v>1163.5598857109235</v>
      </c>
      <c r="H84" s="84">
        <f>IF(LEFT(D84,4)*1&lt;LEFT('General inputs'!$I$16,4)*1,"",IF(LEFT(D84,4)*1&gt;LEFT('General inputs'!$I$16,4)+'General inputs'!$H$38-1,"",E84/(1+'General inputs'!$H$34)^C84))</f>
        <v>1163.5598857109235</v>
      </c>
      <c r="J84" s="114"/>
      <c r="K84" s="114"/>
      <c r="L84" s="84" t="str">
        <f>IF(LEFT(D84,4)*1&gt;LEFT('General inputs'!$I$18,4)*1,"",SUMIF('Post-1996 commissioned assets'!$F$22:$F$222,$D84,'Post-1996 commissioned assets'!$P$22:$P$222))</f>
        <v/>
      </c>
      <c r="M84" s="84" t="str">
        <f>IF(L84="","",L84/(1+'General inputs'!$H$32)^C84)</f>
        <v/>
      </c>
      <c r="N84" s="84">
        <f>IF(LEFT(D84,4)*1&lt;LEFT('General inputs'!$I$18,4)*1+1,"",SUMIF('Uncommissioned assets'!$F$22:$F$218,$D84,'Uncommissioned assets'!$P$22:$P$218))</f>
        <v>0</v>
      </c>
      <c r="O84" s="84">
        <f>IF(N84="","",N84/(1+'General inputs'!$H$32)^C84)</f>
        <v>0</v>
      </c>
      <c r="Q84" s="89">
        <v>22863509.916000001</v>
      </c>
      <c r="R84" s="84">
        <f>IF(OR(LEFT(D84,4)*1&lt;LEFT('General inputs'!$I$16,4)*1,LEFT(D84,4)*1&gt;LEFT('General inputs'!$I$16,4)+'General inputs'!$H$38-1),"",Q84/(1+'General inputs'!$H$34)^C84)</f>
        <v>14697824.853487032</v>
      </c>
      <c r="T84" s="89">
        <v>10138609.293749617</v>
      </c>
      <c r="U84" s="84">
        <f>IF(OR(LEFT(D84,4)*1&lt;LEFT('General inputs'!$I$16,4)*1,LEFT(D84,4)*1&gt;LEFT('General inputs'!$I$16,4)+'General inputs'!$H$38-1),"",T84/(1+'General inputs'!$H$34)^C84)</f>
        <v>6517612.7464657519</v>
      </c>
      <c r="V84" s="56"/>
    </row>
    <row r="85" spans="2:22" x14ac:dyDescent="0.25">
      <c r="B85" s="55"/>
      <c r="C85" s="28">
        <f>IF(D85='General inputs'!$I$16,0,IF(D85&lt;'General inputs'!$I$16,C86-1,C84+1))</f>
        <v>17</v>
      </c>
      <c r="D85" s="28" t="str">
        <f t="shared" si="1"/>
        <v>2041-42</v>
      </c>
      <c r="E85" s="84">
        <f>IF(LEFT(D85,4)*1&gt;LEFT('General inputs'!$I$16,4)+'General inputs'!$H$38-1,"",'ET inputs'!D58)</f>
        <v>1835</v>
      </c>
      <c r="F85" s="84">
        <f>IF(LEFT(D85,4)*1&gt;LEFT('General inputs'!$I$16,4)+'General inputs'!$H$38-1,"",E85/(1+'General inputs'!$H$30)^C85)</f>
        <v>1835</v>
      </c>
      <c r="G85" s="84">
        <f>IF(LEFT(D85,4)*1&gt;LEFT('General inputs'!$I$16,4)+'General inputs'!$H$38-1,"",E85/(1+'General inputs'!$H$32)^C85)</f>
        <v>1147.5011233955031</v>
      </c>
      <c r="H85" s="84">
        <f>IF(LEFT(D85,4)*1&lt;LEFT('General inputs'!$I$16,4)*1,"",IF(LEFT(D85,4)*1&gt;LEFT('General inputs'!$I$16,4)+'General inputs'!$H$38-1,"",E85/(1+'General inputs'!$H$34)^C85))</f>
        <v>1147.5011233955031</v>
      </c>
      <c r="J85" s="114"/>
      <c r="K85" s="114"/>
      <c r="L85" s="84" t="str">
        <f>IF(LEFT(D85,4)*1&gt;LEFT('General inputs'!$I$18,4)*1,"",SUMIF('Post-1996 commissioned assets'!$F$22:$F$222,$D85,'Post-1996 commissioned assets'!$P$22:$P$222))</f>
        <v/>
      </c>
      <c r="M85" s="84" t="str">
        <f>IF(L85="","",L85/(1+'General inputs'!$H$32)^C85)</f>
        <v/>
      </c>
      <c r="N85" s="84">
        <f>IF(LEFT(D85,4)*1&lt;LEFT('General inputs'!$I$18,4)*1+1,"",SUMIF('Uncommissioned assets'!$F$22:$F$218,$D85,'Uncommissioned assets'!$P$22:$P$218))</f>
        <v>0</v>
      </c>
      <c r="O85" s="84">
        <f>IF(N85="","",N85/(1+'General inputs'!$H$32)^C85)</f>
        <v>0</v>
      </c>
      <c r="Q85" s="89">
        <v>24183457.712000001</v>
      </c>
      <c r="R85" s="84">
        <f>IF(OR(LEFT(D85,4)*1&lt;LEFT('General inputs'!$I$16,4)*1,LEFT(D85,4)*1&gt;LEFT('General inputs'!$I$16,4)+'General inputs'!$H$38-1),"",Q85/(1+'General inputs'!$H$34)^C85)</f>
        <v>15122912.747742584</v>
      </c>
      <c r="T85" s="89">
        <v>10723927.779010922</v>
      </c>
      <c r="U85" s="84">
        <f>IF(OR(LEFT(D85,4)*1&lt;LEFT('General inputs'!$I$16,4)*1,LEFT(D85,4)*1&gt;LEFT('General inputs'!$I$16,4)+'General inputs'!$H$38-1),"",T85/(1+'General inputs'!$H$34)^C85)</f>
        <v>6706113.9910775339</v>
      </c>
      <c r="V85" s="56"/>
    </row>
    <row r="86" spans="2:22" x14ac:dyDescent="0.25">
      <c r="B86" s="55"/>
      <c r="C86" s="28">
        <f>IF(D86='General inputs'!$I$16,0,IF(D86&lt;'General inputs'!$I$16,C87-1,C85+1))</f>
        <v>18</v>
      </c>
      <c r="D86" s="28" t="str">
        <f t="shared" si="1"/>
        <v>2042-43</v>
      </c>
      <c r="E86" s="84">
        <f>IF(LEFT(D86,4)*1&gt;LEFT('General inputs'!$I$16,4)+'General inputs'!$H$38-1,"",'ET inputs'!D59)</f>
        <v>1861</v>
      </c>
      <c r="F86" s="84">
        <f>IF(LEFT(D86,4)*1&gt;LEFT('General inputs'!$I$16,4)+'General inputs'!$H$38-1,"",E86/(1+'General inputs'!$H$30)^C86)</f>
        <v>1861</v>
      </c>
      <c r="G86" s="84">
        <f>IF(LEFT(D86,4)*1&gt;LEFT('General inputs'!$I$16,4)+'General inputs'!$H$38-1,"",E86/(1+'General inputs'!$H$32)^C86)</f>
        <v>1132.0622518469404</v>
      </c>
      <c r="H86" s="84">
        <f>IF(LEFT(D86,4)*1&lt;LEFT('General inputs'!$I$16,4)*1,"",IF(LEFT(D86,4)*1&gt;LEFT('General inputs'!$I$16,4)+'General inputs'!$H$38-1,"",E86/(1+'General inputs'!$H$34)^C86))</f>
        <v>1132.0622518469404</v>
      </c>
      <c r="J86" s="114"/>
      <c r="K86" s="114"/>
      <c r="L86" s="84" t="str">
        <f>IF(LEFT(D86,4)*1&gt;LEFT('General inputs'!$I$18,4)*1,"",SUMIF('Post-1996 commissioned assets'!$F$22:$F$222,$D86,'Post-1996 commissioned assets'!$P$22:$P$222))</f>
        <v/>
      </c>
      <c r="M86" s="84" t="str">
        <f>IF(L86="","",L86/(1+'General inputs'!$H$32)^C86)</f>
        <v/>
      </c>
      <c r="N86" s="84">
        <f>IF(LEFT(D86,4)*1&lt;LEFT('General inputs'!$I$18,4)*1+1,"",SUMIF('Uncommissioned assets'!$F$22:$F$218,$D86,'Uncommissioned assets'!$P$22:$P$218))</f>
        <v>0</v>
      </c>
      <c r="O86" s="84">
        <f>IF(N86="","",N86/(1+'General inputs'!$H$32)^C86)</f>
        <v>0</v>
      </c>
      <c r="Q86" s="89">
        <v>25522107.765600003</v>
      </c>
      <c r="R86" s="84">
        <f>IF(OR(LEFT(D86,4)*1&lt;LEFT('General inputs'!$I$16,4)*1,LEFT(D86,4)*1&gt;LEFT('General inputs'!$I$16,4)+'General inputs'!$H$38-1),"",Q86/(1+'General inputs'!$H$34)^C86)</f>
        <v>15525316.920475779</v>
      </c>
      <c r="T86" s="89">
        <v>11317539.605207808</v>
      </c>
      <c r="U86" s="84">
        <f>IF(OR(LEFT(D86,4)*1&lt;LEFT('General inputs'!$I$16,4)*1,LEFT(D86,4)*1&gt;LEFT('General inputs'!$I$16,4)+'General inputs'!$H$38-1),"",T86/(1+'General inputs'!$H$34)^C86)</f>
        <v>6884556.351874521</v>
      </c>
      <c r="V86" s="56"/>
    </row>
    <row r="87" spans="2:22" x14ac:dyDescent="0.25">
      <c r="B87" s="55"/>
      <c r="C87" s="28">
        <f>IF(D87='General inputs'!$I$16,0,IF(D87&lt;'General inputs'!$I$16,C88-1,C86+1))</f>
        <v>19</v>
      </c>
      <c r="D87" s="28" t="str">
        <f t="shared" si="1"/>
        <v>2043-44</v>
      </c>
      <c r="E87" s="84">
        <f>IF(LEFT(D87,4)*1&gt;LEFT('General inputs'!$I$16,4)+'General inputs'!$H$38-1,"",'ET inputs'!D60)</f>
        <v>1886</v>
      </c>
      <c r="F87" s="84">
        <f>IF(LEFT(D87,4)*1&gt;LEFT('General inputs'!$I$16,4)+'General inputs'!$H$38-1,"",E87/(1+'General inputs'!$H$30)^C87)</f>
        <v>1886</v>
      </c>
      <c r="G87" s="84">
        <f>IF(LEFT(D87,4)*1&gt;LEFT('General inputs'!$I$16,4)+'General inputs'!$H$38-1,"",E87/(1+'General inputs'!$H$32)^C87)</f>
        <v>1116.0213678387888</v>
      </c>
      <c r="H87" s="84">
        <f>IF(LEFT(D87,4)*1&lt;LEFT('General inputs'!$I$16,4)*1,"",IF(LEFT(D87,4)*1&gt;LEFT('General inputs'!$I$16,4)+'General inputs'!$H$38-1,"",E87/(1+'General inputs'!$H$34)^C87))</f>
        <v>1116.0213678387888</v>
      </c>
      <c r="J87" s="114"/>
      <c r="K87" s="114"/>
      <c r="L87" s="84" t="str">
        <f>IF(LEFT(D87,4)*1&gt;LEFT('General inputs'!$I$18,4)*1,"",SUMIF('Post-1996 commissioned assets'!$F$22:$F$222,$D87,'Post-1996 commissioned assets'!$P$22:$P$222))</f>
        <v/>
      </c>
      <c r="M87" s="84" t="str">
        <f>IF(L87="","",L87/(1+'General inputs'!$H$32)^C87)</f>
        <v/>
      </c>
      <c r="N87" s="84">
        <f>IF(LEFT(D87,4)*1&lt;LEFT('General inputs'!$I$18,4)*1+1,"",SUMIF('Uncommissioned assets'!$F$22:$F$218,$D87,'Uncommissioned assets'!$P$22:$P$218))</f>
        <v>0</v>
      </c>
      <c r="O87" s="84">
        <f>IF(N87="","",N87/(1+'General inputs'!$H$32)^C87)</f>
        <v>0</v>
      </c>
      <c r="Q87" s="89">
        <v>26878740.759200003</v>
      </c>
      <c r="R87" s="84">
        <f>IF(OR(LEFT(D87,4)*1&lt;LEFT('General inputs'!$I$16,4)*1,LEFT(D87,4)*1&gt;LEFT('General inputs'!$I$16,4)+'General inputs'!$H$38-1),"",Q87/(1+'General inputs'!$H$34)^C87)</f>
        <v>15905222.178084088</v>
      </c>
      <c r="T87" s="89">
        <v>11919125.797688909</v>
      </c>
      <c r="U87" s="84">
        <f>IF(OR(LEFT(D87,4)*1&lt;LEFT('General inputs'!$I$16,4)*1,LEFT(D87,4)*1&gt;LEFT('General inputs'!$I$16,4)+'General inputs'!$H$38-1),"",T87/(1+'General inputs'!$H$34)^C87)</f>
        <v>7053021.7795224655</v>
      </c>
      <c r="V87" s="56"/>
    </row>
    <row r="88" spans="2:22" x14ac:dyDescent="0.25">
      <c r="B88" s="55"/>
      <c r="C88" s="28">
        <f>IF(D88='General inputs'!$I$16,0,IF(D88&lt;'General inputs'!$I$16,C89-1,C87+1))</f>
        <v>20</v>
      </c>
      <c r="D88" s="28" t="str">
        <f t="shared" si="1"/>
        <v>2044-45</v>
      </c>
      <c r="E88" s="84">
        <f>IF(LEFT(D88,4)*1&gt;LEFT('General inputs'!$I$16,4)+'General inputs'!$H$38-1,"",'ET inputs'!D61)</f>
        <v>1913</v>
      </c>
      <c r="F88" s="84">
        <f>IF(LEFT(D88,4)*1&gt;LEFT('General inputs'!$I$16,4)+'General inputs'!$H$38-1,"",E88/(1+'General inputs'!$H$30)^C88)</f>
        <v>1913</v>
      </c>
      <c r="G88" s="84">
        <f>IF(LEFT(D88,4)*1&gt;LEFT('General inputs'!$I$16,4)+'General inputs'!$H$38-1,"",E88/(1+'General inputs'!$H$32)^C88)</f>
        <v>1101.1657042242464</v>
      </c>
      <c r="H88" s="84">
        <f>IF(LEFT(D88,4)*1&lt;LEFT('General inputs'!$I$16,4)*1,"",IF(LEFT(D88,4)*1&gt;LEFT('General inputs'!$I$16,4)+'General inputs'!$H$38-1,"",E88/(1+'General inputs'!$H$34)^C88))</f>
        <v>1101.1657042242464</v>
      </c>
      <c r="J88" s="114"/>
      <c r="K88" s="114"/>
      <c r="L88" s="84" t="str">
        <f>IF(LEFT(D88,4)*1&gt;LEFT('General inputs'!$I$18,4)*1,"",SUMIF('Post-1996 commissioned assets'!$F$22:$F$222,$D88,'Post-1996 commissioned assets'!$P$22:$P$222))</f>
        <v/>
      </c>
      <c r="M88" s="84" t="str">
        <f>IF(L88="","",L88/(1+'General inputs'!$H$32)^C88)</f>
        <v/>
      </c>
      <c r="N88" s="84">
        <f>IF(LEFT(D88,4)*1&lt;LEFT('General inputs'!$I$18,4)*1+1,"",SUMIF('Uncommissioned assets'!$F$22:$F$218,$D88,'Uncommissioned assets'!$P$22:$P$218))</f>
        <v>0</v>
      </c>
      <c r="O88" s="84">
        <f>IF(N88="","",N88/(1+'General inputs'!$H$32)^C88)</f>
        <v>0</v>
      </c>
      <c r="Q88" s="89">
        <v>28254795.328000002</v>
      </c>
      <c r="R88" s="84">
        <f>IF(OR(LEFT(D88,4)*1&lt;LEFT('General inputs'!$I$16,4)*1,LEFT(D88,4)*1&gt;LEFT('General inputs'!$I$16,4)+'General inputs'!$H$38-1),"",Q88/(1+'General inputs'!$H$34)^C88)</f>
        <v>16264093.881374318</v>
      </c>
      <c r="T88" s="89">
        <v>12529324.30575696</v>
      </c>
      <c r="U88" s="84">
        <f>IF(OR(LEFT(D88,4)*1&lt;LEFT('General inputs'!$I$16,4)*1,LEFT(D88,4)*1&gt;LEFT('General inputs'!$I$16,4)+'General inputs'!$H$38-1),"",T88/(1+'General inputs'!$H$34)^C88)</f>
        <v>7212160.0745440824</v>
      </c>
      <c r="V88" s="56"/>
    </row>
    <row r="89" spans="2:22" x14ac:dyDescent="0.25">
      <c r="B89" s="55"/>
      <c r="C89" s="28">
        <f>IF(D89='General inputs'!$I$16,0,IF(D89&lt;'General inputs'!$I$16,C90-1,C88+1))</f>
        <v>21</v>
      </c>
      <c r="D89" s="28" t="str">
        <f t="shared" si="1"/>
        <v>2045-46</v>
      </c>
      <c r="E89" s="84">
        <f>IF(LEFT(D89,4)*1&gt;LEFT('General inputs'!$I$16,4)+'General inputs'!$H$38-1,"",'ET inputs'!D62)</f>
        <v>1939</v>
      </c>
      <c r="F89" s="84">
        <f>IF(LEFT(D89,4)*1&gt;LEFT('General inputs'!$I$16,4)+'General inputs'!$H$38-1,"",E89/(1+'General inputs'!$H$30)^C89)</f>
        <v>1939</v>
      </c>
      <c r="G89" s="84">
        <f>IF(LEFT(D89,4)*1&gt;LEFT('General inputs'!$I$16,4)+'General inputs'!$H$38-1,"",E89/(1+'General inputs'!$H$32)^C89)</f>
        <v>1085.7314079230648</v>
      </c>
      <c r="H89" s="84">
        <f>IF(LEFT(D89,4)*1&lt;LEFT('General inputs'!$I$16,4)*1,"",IF(LEFT(D89,4)*1&gt;LEFT('General inputs'!$I$16,4)+'General inputs'!$H$38-1,"",E89/(1+'General inputs'!$H$34)^C89))</f>
        <v>1085.7314079230648</v>
      </c>
      <c r="J89" s="114"/>
      <c r="K89" s="114"/>
      <c r="L89" s="84" t="str">
        <f>IF(LEFT(D89,4)*1&gt;LEFT('General inputs'!$I$18,4)*1,"",SUMIF('Post-1996 commissioned assets'!$F$22:$F$222,$D89,'Post-1996 commissioned assets'!$P$22:$P$222))</f>
        <v/>
      </c>
      <c r="M89" s="84" t="str">
        <f>IF(L89="","",L89/(1+'General inputs'!$H$32)^C89)</f>
        <v/>
      </c>
      <c r="N89" s="84">
        <f>IF(LEFT(D89,4)*1&lt;LEFT('General inputs'!$I$18,4)*1+1,"",SUMIF('Uncommissioned assets'!$F$22:$F$218,$D89,'Uncommissioned assets'!$P$22:$P$218))</f>
        <v>0</v>
      </c>
      <c r="O89" s="84">
        <f>IF(N89="","",N89/(1+'General inputs'!$H$32)^C89)</f>
        <v>0</v>
      </c>
      <c r="Q89" s="89">
        <v>29649552.154400002</v>
      </c>
      <c r="R89" s="84">
        <f>IF(OR(LEFT(D89,4)*1&lt;LEFT('General inputs'!$I$16,4)*1,LEFT(D89,4)*1&gt;LEFT('General inputs'!$I$16,4)+'General inputs'!$H$38-1),"",Q89/(1+'General inputs'!$H$34)^C89)</f>
        <v>16602088.708037674</v>
      </c>
      <c r="T89" s="89">
        <v>13147816.154760595</v>
      </c>
      <c r="U89" s="84">
        <f>IF(OR(LEFT(D89,4)*1&lt;LEFT('General inputs'!$I$16,4)*1,LEFT(D89,4)*1&gt;LEFT('General inputs'!$I$16,4)+'General inputs'!$H$38-1),"",T89/(1+'General inputs'!$H$34)^C89)</f>
        <v>7362040.7141938303</v>
      </c>
      <c r="V89" s="56"/>
    </row>
    <row r="90" spans="2:22" x14ac:dyDescent="0.25">
      <c r="B90" s="55"/>
      <c r="C90" s="28">
        <f>IF(D90='General inputs'!$I$16,0,IF(D90&lt;'General inputs'!$I$16,C91-1,C89+1))</f>
        <v>22</v>
      </c>
      <c r="D90" s="28" t="str">
        <f t="shared" si="1"/>
        <v>2046-47</v>
      </c>
      <c r="E90" s="84">
        <f>IF(LEFT(D90,4)*1&gt;LEFT('General inputs'!$I$16,4)+'General inputs'!$H$38-1,"",'ET inputs'!D63)</f>
        <v>1967</v>
      </c>
      <c r="F90" s="84">
        <f>IF(LEFT(D90,4)*1&gt;LEFT('General inputs'!$I$16,4)+'General inputs'!$H$38-1,"",E90/(1+'General inputs'!$H$30)^C90)</f>
        <v>1967</v>
      </c>
      <c r="G90" s="84">
        <f>IF(LEFT(D90,4)*1&gt;LEFT('General inputs'!$I$16,4)+'General inputs'!$H$38-1,"",E90/(1+'General inputs'!$H$32)^C90)</f>
        <v>1071.4103500062552</v>
      </c>
      <c r="H90" s="84">
        <f>IF(LEFT(D90,4)*1&lt;LEFT('General inputs'!$I$16,4)*1,"",IF(LEFT(D90,4)*1&gt;LEFT('General inputs'!$I$16,4)+'General inputs'!$H$38-1,"",E90/(1+'General inputs'!$H$34)^C90))</f>
        <v>1071.4103500062552</v>
      </c>
      <c r="J90" s="114"/>
      <c r="K90" s="114"/>
      <c r="L90" s="84" t="str">
        <f>IF(LEFT(D90,4)*1&gt;LEFT('General inputs'!$I$18,4)*1,"",SUMIF('Post-1996 commissioned assets'!$F$22:$F$222,$D90,'Post-1996 commissioned assets'!$P$22:$P$222))</f>
        <v/>
      </c>
      <c r="M90" s="84" t="str">
        <f>IF(L90="","",L90/(1+'General inputs'!$H$32)^C90)</f>
        <v/>
      </c>
      <c r="N90" s="84">
        <f>IF(LEFT(D90,4)*1&lt;LEFT('General inputs'!$I$18,4)*1+1,"",SUMIF('Uncommissioned assets'!$F$22:$F$218,$D90,'Uncommissioned assets'!$P$22:$P$218))</f>
        <v>0</v>
      </c>
      <c r="O90" s="84">
        <f>IF(N90="","",N90/(1+'General inputs'!$H$32)^C90)</f>
        <v>0</v>
      </c>
      <c r="Q90" s="89">
        <v>31064449.873600002</v>
      </c>
      <c r="R90" s="84">
        <f>IF(OR(LEFT(D90,4)*1&lt;LEFT('General inputs'!$I$16,4)*1,LEFT(D90,4)*1&gt;LEFT('General inputs'!$I$16,4)+'General inputs'!$H$38-1),"",Q90/(1+'General inputs'!$H$34)^C90)</f>
        <v>16920576.060917918</v>
      </c>
      <c r="T90" s="89">
        <v>13775239.294002548</v>
      </c>
      <c r="U90" s="84">
        <f>IF(OR(LEFT(D90,4)*1&lt;LEFT('General inputs'!$I$16,4)*1,LEFT(D90,4)*1&gt;LEFT('General inputs'!$I$16,4)+'General inputs'!$H$38-1),"",T90/(1+'General inputs'!$H$34)^C90)</f>
        <v>7503270.9473346146</v>
      </c>
      <c r="V90" s="56"/>
    </row>
    <row r="91" spans="2:22" x14ac:dyDescent="0.25">
      <c r="B91" s="55"/>
      <c r="C91" s="28">
        <f>IF(D91='General inputs'!$I$16,0,IF(D91&lt;'General inputs'!$I$16,C92-1,C90+1))</f>
        <v>23</v>
      </c>
      <c r="D91" s="28" t="str">
        <f t="shared" si="1"/>
        <v>2047-48</v>
      </c>
      <c r="E91" s="84">
        <f>IF(LEFT(D91,4)*1&gt;LEFT('General inputs'!$I$16,4)+'General inputs'!$H$38-1,"",'ET inputs'!D64)</f>
        <v>1993</v>
      </c>
      <c r="F91" s="84">
        <f>IF(LEFT(D91,4)*1&gt;LEFT('General inputs'!$I$16,4)+'General inputs'!$H$38-1,"",E91/(1+'General inputs'!$H$30)^C91)</f>
        <v>1993</v>
      </c>
      <c r="G91" s="84">
        <f>IF(LEFT(D91,4)*1&gt;LEFT('General inputs'!$I$16,4)+'General inputs'!$H$38-1,"",E91/(1+'General inputs'!$H$32)^C91)</f>
        <v>1056.0042389912478</v>
      </c>
      <c r="H91" s="84">
        <f>IF(LEFT(D91,4)*1&lt;LEFT('General inputs'!$I$16,4)*1,"",IF(LEFT(D91,4)*1&gt;LEFT('General inputs'!$I$16,4)+'General inputs'!$H$38-1,"",E91/(1+'General inputs'!$H$34)^C91))</f>
        <v>1056.0042389912478</v>
      </c>
      <c r="J91" s="114"/>
      <c r="K91" s="114"/>
      <c r="L91" s="84" t="str">
        <f>IF(LEFT(D91,4)*1&gt;LEFT('General inputs'!$I$18,4)*1,"",SUMIF('Post-1996 commissioned assets'!$F$22:$F$222,$D91,'Post-1996 commissioned assets'!$P$22:$P$222))</f>
        <v/>
      </c>
      <c r="M91" s="84" t="str">
        <f>IF(L91="","",L91/(1+'General inputs'!$H$32)^C91)</f>
        <v/>
      </c>
      <c r="N91" s="84">
        <f>IF(LEFT(D91,4)*1&lt;LEFT('General inputs'!$I$18,4)*1+1,"",SUMIF('Uncommissioned assets'!$F$22:$F$218,$D91,'Uncommissioned assets'!$P$22:$P$218))</f>
        <v>0</v>
      </c>
      <c r="O91" s="84">
        <f>IF(N91="","",N91/(1+'General inputs'!$H$32)^C91)</f>
        <v>0</v>
      </c>
      <c r="Q91" s="89">
        <v>32498049.850400005</v>
      </c>
      <c r="R91" s="84">
        <f>IF(OR(LEFT(D91,4)*1&lt;LEFT('General inputs'!$I$16,4)*1,LEFT(D91,4)*1&gt;LEFT('General inputs'!$I$16,4)+'General inputs'!$H$38-1),"",Q91/(1+'General inputs'!$H$34)^C91)</f>
        <v>17219306.774195328</v>
      </c>
      <c r="T91" s="89">
        <v>14410955.774180084</v>
      </c>
      <c r="U91" s="84">
        <f>IF(OR(LEFT(D91,4)*1&lt;LEFT('General inputs'!$I$16,4)*1,LEFT(D91,4)*1&gt;LEFT('General inputs'!$I$16,4)+'General inputs'!$H$38-1),"",T91/(1+'General inputs'!$H$34)^C91)</f>
        <v>7635740.2837177962</v>
      </c>
      <c r="V91" s="56"/>
    </row>
    <row r="92" spans="2:22" x14ac:dyDescent="0.25">
      <c r="B92" s="55"/>
      <c r="C92" s="28">
        <f>IF(D92='General inputs'!$I$16,0,IF(D92&lt;'General inputs'!$I$16,C93-1,C91+1))</f>
        <v>24</v>
      </c>
      <c r="D92" s="28" t="str">
        <f t="shared" si="1"/>
        <v>2048-49</v>
      </c>
      <c r="E92" s="84">
        <f>IF(LEFT(D92,4)*1&gt;LEFT('General inputs'!$I$16,4)+'General inputs'!$H$38-1,"",'ET inputs'!D65)</f>
        <v>2022</v>
      </c>
      <c r="F92" s="84">
        <f>IF(LEFT(D92,4)*1&gt;LEFT('General inputs'!$I$16,4)+'General inputs'!$H$38-1,"",E92/(1+'General inputs'!$H$30)^C92)</f>
        <v>2022</v>
      </c>
      <c r="G92" s="84">
        <f>IF(LEFT(D92,4)*1&gt;LEFT('General inputs'!$I$16,4)+'General inputs'!$H$38-1,"",E92/(1+'General inputs'!$H$32)^C92)</f>
        <v>1042.1887946530283</v>
      </c>
      <c r="H92" s="84">
        <f>IF(LEFT(D92,4)*1&lt;LEFT('General inputs'!$I$16,4)*1,"",IF(LEFT(D92,4)*1&gt;LEFT('General inputs'!$I$16,4)+'General inputs'!$H$38-1,"",E92/(1+'General inputs'!$H$34)^C92))</f>
        <v>1042.1887946530283</v>
      </c>
      <c r="J92" s="114"/>
      <c r="K92" s="114"/>
      <c r="L92" s="84" t="str">
        <f>IF(LEFT(D92,4)*1&gt;LEFT('General inputs'!$I$18,4)*1,"",SUMIF('Post-1996 commissioned assets'!$F$22:$F$222,$D92,'Post-1996 commissioned assets'!$P$22:$P$222))</f>
        <v/>
      </c>
      <c r="M92" s="84" t="str">
        <f>IF(L92="","",L92/(1+'General inputs'!$H$32)^C92)</f>
        <v/>
      </c>
      <c r="N92" s="84">
        <f>IF(LEFT(D92,4)*1&lt;LEFT('General inputs'!$I$18,4)*1+1,"",SUMIF('Uncommissioned assets'!$F$22:$F$218,$D92,'Uncommissioned assets'!$P$22:$P$218))</f>
        <v>0</v>
      </c>
      <c r="O92" s="84">
        <f>IF(N92="","",N92/(1+'General inputs'!$H$32)^C92)</f>
        <v>0</v>
      </c>
      <c r="Q92" s="89">
        <v>33952510.037600003</v>
      </c>
      <c r="R92" s="84">
        <f>IF(OR(LEFT(D92,4)*1&lt;LEFT('General inputs'!$I$16,4)*1,LEFT(D92,4)*1&gt;LEFT('General inputs'!$I$16,4)+'General inputs'!$H$38-1),"",Q92/(1+'General inputs'!$H$34)^C92)</f>
        <v>17499963.160994656</v>
      </c>
      <c r="T92" s="89">
        <v>15055922.519247308</v>
      </c>
      <c r="U92" s="84">
        <f>IF(OR(LEFT(D92,4)*1&lt;LEFT('General inputs'!$I$16,4)*1,LEFT(D92,4)*1&gt;LEFT('General inputs'!$I$16,4)+'General inputs'!$H$38-1),"",T92/(1+'General inputs'!$H$34)^C92)</f>
        <v>7760194.7293391386</v>
      </c>
      <c r="V92" s="56"/>
    </row>
    <row r="93" spans="2:22" x14ac:dyDescent="0.25">
      <c r="B93" s="55"/>
      <c r="C93" s="28">
        <f>IF(D93='General inputs'!$I$16,0,IF(D93&lt;'General inputs'!$I$16,C94-1,C92+1))</f>
        <v>25</v>
      </c>
      <c r="D93" s="28" t="str">
        <f t="shared" si="1"/>
        <v>2049-50</v>
      </c>
      <c r="E93" s="84">
        <f>IF(LEFT(D93,4)*1&gt;LEFT('General inputs'!$I$16,4)+'General inputs'!$H$38-1,"",'ET inputs'!D66)</f>
        <v>2049</v>
      </c>
      <c r="F93" s="84">
        <f>IF(LEFT(D93,4)*1&gt;LEFT('General inputs'!$I$16,4)+'General inputs'!$H$38-1,"",E93/(1+'General inputs'!$H$30)^C93)</f>
        <v>2049</v>
      </c>
      <c r="G93" s="84">
        <f>IF(LEFT(D93,4)*1&gt;LEFT('General inputs'!$I$16,4)+'General inputs'!$H$38-1,"",E93/(1+'General inputs'!$H$32)^C93)</f>
        <v>1027.3397492581867</v>
      </c>
      <c r="H93" s="84">
        <f>IF(LEFT(D93,4)*1&lt;LEFT('General inputs'!$I$16,4)*1,"",IF(LEFT(D93,4)*1&gt;LEFT('General inputs'!$I$16,4)+'General inputs'!$H$38-1,"",E93/(1+'General inputs'!$H$34)^C93))</f>
        <v>1027.3397492581867</v>
      </c>
      <c r="J93" s="114"/>
      <c r="K93" s="114"/>
      <c r="L93" s="84" t="str">
        <f>IF(LEFT(D93,4)*1&gt;LEFT('General inputs'!$I$18,4)*1,"",SUMIF('Post-1996 commissioned assets'!$F$22:$F$222,$D93,'Post-1996 commissioned assets'!$P$22:$P$222))</f>
        <v/>
      </c>
      <c r="M93" s="84" t="str">
        <f>IF(L93="","",L93/(1+'General inputs'!$H$32)^C93)</f>
        <v/>
      </c>
      <c r="N93" s="84">
        <f>IF(LEFT(D93,4)*1&lt;LEFT('General inputs'!$I$18,4)*1+1,"",SUMIF('Uncommissioned assets'!$F$22:$F$218,$D93,'Uncommissioned assets'!$P$22:$P$218))</f>
        <v>0</v>
      </c>
      <c r="O93" s="84">
        <f>IF(N93="","",N93/(1+'General inputs'!$H$32)^C93)</f>
        <v>0</v>
      </c>
      <c r="Q93" s="89">
        <v>35426391.800000004</v>
      </c>
      <c r="R93" s="84">
        <f>IF(OR(LEFT(D93,4)*1&lt;LEFT('General inputs'!$I$16,4)*1,LEFT(D93,4)*1&gt;LEFT('General inputs'!$I$16,4)+'General inputs'!$H$38-1),"",Q93/(1+'General inputs'!$H$34)^C93)</f>
        <v>17762294.030714635</v>
      </c>
      <c r="T93" s="89">
        <v>15709501.579901485</v>
      </c>
      <c r="U93" s="84">
        <f>IF(OR(LEFT(D93,4)*1&lt;LEFT('General inputs'!$I$16,4)*1,LEFT(D93,4)*1&gt;LEFT('General inputs'!$I$16,4)+'General inputs'!$H$38-1),"",T93/(1+'General inputs'!$H$34)^C93)</f>
        <v>7876522.8960795896</v>
      </c>
      <c r="V93" s="56"/>
    </row>
    <row r="94" spans="2:22" x14ac:dyDescent="0.25">
      <c r="B94" s="55"/>
      <c r="C94" s="28">
        <f>IF(D94='General inputs'!$I$16,0,IF(D94&lt;'General inputs'!$I$16,C95-1,C93+1))</f>
        <v>26</v>
      </c>
      <c r="D94" s="28" t="str">
        <f t="shared" si="1"/>
        <v>2050-51</v>
      </c>
      <c r="E94" s="84">
        <f>IF(LEFT(D94,4)*1&gt;LEFT('General inputs'!$I$16,4)+'General inputs'!$H$38-1,"",'ET inputs'!D67)</f>
        <v>2078</v>
      </c>
      <c r="F94" s="84">
        <f>IF(LEFT(D94,4)*1&gt;LEFT('General inputs'!$I$16,4)+'General inputs'!$H$38-1,"",E94/(1+'General inputs'!$H$30)^C94)</f>
        <v>2078</v>
      </c>
      <c r="G94" s="84">
        <f>IF(LEFT(D94,4)*1&gt;LEFT('General inputs'!$I$16,4)+'General inputs'!$H$38-1,"",E94/(1+'General inputs'!$H$32)^C94)</f>
        <v>1013.5018880608517</v>
      </c>
      <c r="H94" s="84">
        <f>IF(LEFT(D94,4)*1&lt;LEFT('General inputs'!$I$16,4)*1,"",IF(LEFT(D94,4)*1&gt;LEFT('General inputs'!$I$16,4)+'General inputs'!$H$38-1,"",E94/(1+'General inputs'!$H$34)^C94))</f>
        <v>1013.5018880608517</v>
      </c>
      <c r="J94" s="114"/>
      <c r="K94" s="114"/>
      <c r="L94" s="84" t="str">
        <f>IF(LEFT(D94,4)*1&gt;LEFT('General inputs'!$I$18,4)*1,"",SUMIF('Post-1996 commissioned assets'!$F$22:$F$222,$D94,'Post-1996 commissioned assets'!$P$22:$P$222))</f>
        <v/>
      </c>
      <c r="M94" s="84" t="str">
        <f>IF(L94="","",L94/(1+'General inputs'!$H$32)^C94)</f>
        <v/>
      </c>
      <c r="N94" s="84">
        <f>IF(LEFT(D94,4)*1&lt;LEFT('General inputs'!$I$18,4)*1+1,"",SUMIF('Uncommissioned assets'!$F$22:$F$218,$D94,'Uncommissioned assets'!$P$22:$P$218))</f>
        <v>0</v>
      </c>
      <c r="O94" s="84">
        <f>IF(N94="","",N94/(1+'General inputs'!$H$32)^C94)</f>
        <v>0</v>
      </c>
      <c r="Q94" s="89">
        <v>36921133.772800006</v>
      </c>
      <c r="R94" s="84">
        <f>IF(OR(LEFT(D94,4)*1&lt;LEFT('General inputs'!$I$16,4)*1,LEFT(D94,4)*1&gt;LEFT('General inputs'!$I$16,4)+'General inputs'!$H$38-1),"",Q94/(1+'General inputs'!$H$34)^C94)</f>
        <v>18007525.884542868</v>
      </c>
      <c r="T94" s="89">
        <v>16372330.905445348</v>
      </c>
      <c r="U94" s="84">
        <f>IF(OR(LEFT(D94,4)*1&lt;LEFT('General inputs'!$I$16,4)*1,LEFT(D94,4)*1&gt;LEFT('General inputs'!$I$16,4)+'General inputs'!$H$38-1),"",T94/(1+'General inputs'!$H$34)^C94)</f>
        <v>7985268.6644012965</v>
      </c>
      <c r="V94" s="56"/>
    </row>
    <row r="95" spans="2:22" x14ac:dyDescent="0.25">
      <c r="B95" s="55"/>
      <c r="C95" s="28">
        <f>IF(D95='General inputs'!$I$16,0,IF(D95&lt;'General inputs'!$I$16,C96-1,C94+1))</f>
        <v>27</v>
      </c>
      <c r="D95" s="28" t="str">
        <f t="shared" si="1"/>
        <v>2051-52</v>
      </c>
      <c r="E95" s="84">
        <f>IF(LEFT(D95,4)*1&gt;LEFT('General inputs'!$I$16,4)+'General inputs'!$H$38-1,"",'ET inputs'!D68)</f>
        <v>2107</v>
      </c>
      <c r="F95" s="84">
        <f>IF(LEFT(D95,4)*1&gt;LEFT('General inputs'!$I$16,4)+'General inputs'!$H$38-1,"",E95/(1+'General inputs'!$H$30)^C95)</f>
        <v>2107</v>
      </c>
      <c r="G95" s="84">
        <f>IF(LEFT(D95,4)*1&gt;LEFT('General inputs'!$I$16,4)+'General inputs'!$H$38-1,"",E95/(1+'General inputs'!$H$32)^C95)</f>
        <v>999.65568422205877</v>
      </c>
      <c r="H95" s="84">
        <f>IF(LEFT(D95,4)*1&lt;LEFT('General inputs'!$I$16,4)*1,"",IF(LEFT(D95,4)*1&gt;LEFT('General inputs'!$I$16,4)+'General inputs'!$H$38-1,"",E95/(1+'General inputs'!$H$34)^C95))</f>
        <v>999.65568422205877</v>
      </c>
      <c r="J95" s="114"/>
      <c r="K95" s="114"/>
      <c r="L95" s="84" t="str">
        <f>IF(LEFT(D95,4)*1&gt;LEFT('General inputs'!$I$18,4)*1,"",SUMIF('Post-1996 commissioned assets'!$F$22:$F$222,$D95,'Post-1996 commissioned assets'!$P$22:$P$222))</f>
        <v/>
      </c>
      <c r="M95" s="84" t="str">
        <f>IF(L95="","",L95/(1+'General inputs'!$H$32)^C95)</f>
        <v/>
      </c>
      <c r="N95" s="84">
        <f>IF(LEFT(D95,4)*1&lt;LEFT('General inputs'!$I$18,4)*1+1,"",SUMIF('Uncommissioned assets'!$F$22:$F$218,$D95,'Uncommissioned assets'!$P$22:$P$218))</f>
        <v>0</v>
      </c>
      <c r="O95" s="84">
        <f>IF(N95="","",N95/(1+'General inputs'!$H$32)^C95)</f>
        <v>0</v>
      </c>
      <c r="Q95" s="89">
        <v>38436735.956000008</v>
      </c>
      <c r="R95" s="84">
        <f>IF(OR(LEFT(D95,4)*1&lt;LEFT('General inputs'!$I$16,4)*1,LEFT(D95,4)*1&gt;LEFT('General inputs'!$I$16,4)+'General inputs'!$H$38-1),"",Q95/(1+'General inputs'!$H$34)^C95)</f>
        <v>18236118.453420881</v>
      </c>
      <c r="T95" s="89">
        <v>17044410.495878901</v>
      </c>
      <c r="U95" s="84">
        <f>IF(OR(LEFT(D95,4)*1&lt;LEFT('General inputs'!$I$16,4)*1,LEFT(D95,4)*1&gt;LEFT('General inputs'!$I$16,4)+'General inputs'!$H$38-1),"",T95/(1+'General inputs'!$H$34)^C95)</f>
        <v>8086635.8976836558</v>
      </c>
      <c r="V95" s="56"/>
    </row>
    <row r="96" spans="2:22" x14ac:dyDescent="0.25">
      <c r="B96" s="55"/>
      <c r="C96" s="28">
        <f>IF(D96='General inputs'!$I$16,0,IF(D96&lt;'General inputs'!$I$16,C97-1,C95+1))</f>
        <v>28</v>
      </c>
      <c r="D96" s="28" t="str">
        <f t="shared" si="1"/>
        <v>2052-53</v>
      </c>
      <c r="E96" s="84">
        <f>IF(LEFT(D96,4)*1&gt;LEFT('General inputs'!$I$16,4)+'General inputs'!$H$38-1,"",'ET inputs'!D69)</f>
        <v>2136</v>
      </c>
      <c r="F96" s="84">
        <f>IF(LEFT(D96,4)*1&gt;LEFT('General inputs'!$I$16,4)+'General inputs'!$H$38-1,"",E96/(1+'General inputs'!$H$30)^C96)</f>
        <v>2136</v>
      </c>
      <c r="G96" s="84">
        <f>IF(LEFT(D96,4)*1&gt;LEFT('General inputs'!$I$16,4)+'General inputs'!$H$38-1,"",E96/(1+'General inputs'!$H$32)^C96)</f>
        <v>985.8118581466988</v>
      </c>
      <c r="H96" s="84">
        <f>IF(LEFT(D96,4)*1&lt;LEFT('General inputs'!$I$16,4)*1,"",IF(LEFT(D96,4)*1&gt;LEFT('General inputs'!$I$16,4)+'General inputs'!$H$38-1,"",E96/(1+'General inputs'!$H$34)^C96))</f>
        <v>985.8118581466988</v>
      </c>
      <c r="J96" s="114"/>
      <c r="K96" s="114"/>
      <c r="L96" s="84" t="str">
        <f>IF(LEFT(D96,4)*1&gt;LEFT('General inputs'!$I$18,4)*1,"",SUMIF('Post-1996 commissioned assets'!$F$22:$F$222,$D96,'Post-1996 commissioned assets'!$P$22:$P$222))</f>
        <v/>
      </c>
      <c r="M96" s="84" t="str">
        <f>IF(L96="","",L96/(1+'General inputs'!$H$32)^C96)</f>
        <v/>
      </c>
      <c r="N96" s="84">
        <f>IF(LEFT(D96,4)*1&lt;LEFT('General inputs'!$I$18,4)*1+1,"",SUMIF('Uncommissioned assets'!$F$22:$F$218,$D96,'Uncommissioned assets'!$P$22:$P$218))</f>
        <v>0</v>
      </c>
      <c r="O96" s="84">
        <f>IF(N96="","",N96/(1+'General inputs'!$H$32)^C96)</f>
        <v>0</v>
      </c>
      <c r="Q96" s="89">
        <v>39973198.349600002</v>
      </c>
      <c r="R96" s="84">
        <f>IF(OR(LEFT(D96,4)*1&lt;LEFT('General inputs'!$I$16,4)*1,LEFT(D96,4)*1&gt;LEFT('General inputs'!$I$16,4)+'General inputs'!$H$38-1),"",Q96/(1+'General inputs'!$H$34)^C96)</f>
        <v>18448526.657811671</v>
      </c>
      <c r="T96" s="89">
        <v>17725740.351202141</v>
      </c>
      <c r="U96" s="84">
        <f>IF(OR(LEFT(D96,4)*1&lt;LEFT('General inputs'!$I$16,4)*1,LEFT(D96,4)*1&gt;LEFT('General inputs'!$I$16,4)+'General inputs'!$H$38-1),"",T96/(1+'General inputs'!$H$34)^C96)</f>
        <v>8180826.3261444289</v>
      </c>
      <c r="V96" s="56"/>
    </row>
    <row r="97" spans="2:22" x14ac:dyDescent="0.25">
      <c r="B97" s="55"/>
      <c r="C97" s="28">
        <f>IF(D97='General inputs'!$I$16,0,IF(D97&lt;'General inputs'!$I$16,C98-1,C96+1))</f>
        <v>29</v>
      </c>
      <c r="D97" s="28" t="str">
        <f t="shared" si="1"/>
        <v>2053-54</v>
      </c>
      <c r="E97" s="84">
        <f>IF(LEFT(D97,4)*1&gt;LEFT('General inputs'!$I$16,4)+'General inputs'!$H$38-1,"",'ET inputs'!D70)</f>
        <v>2166</v>
      </c>
      <c r="F97" s="84">
        <f>IF(LEFT(D97,4)*1&gt;LEFT('General inputs'!$I$16,4)+'General inputs'!$H$38-1,"",E97/(1+'General inputs'!$H$30)^C97)</f>
        <v>2166</v>
      </c>
      <c r="G97" s="84">
        <f>IF(LEFT(D97,4)*1&gt;LEFT('General inputs'!$I$16,4)+'General inputs'!$H$38-1,"",E97/(1+'General inputs'!$H$32)^C97)</f>
        <v>972.42950419424187</v>
      </c>
      <c r="H97" s="84">
        <f>IF(LEFT(D97,4)*1&lt;LEFT('General inputs'!$I$16,4)*1,"",IF(LEFT(D97,4)*1&gt;LEFT('General inputs'!$I$16,4)+'General inputs'!$H$38-1,"",E97/(1+'General inputs'!$H$34)^C97))</f>
        <v>972.42950419424187</v>
      </c>
      <c r="J97" s="114"/>
      <c r="K97" s="114"/>
      <c r="L97" s="84" t="str">
        <f>IF(LEFT(D97,4)*1&gt;LEFT('General inputs'!$I$18,4)*1,"",SUMIF('Post-1996 commissioned assets'!$F$22:$F$222,$D97,'Post-1996 commissioned assets'!$P$22:$P$222))</f>
        <v/>
      </c>
      <c r="M97" s="84" t="str">
        <f>IF(L97="","",L97/(1+'General inputs'!$H$32)^C97)</f>
        <v/>
      </c>
      <c r="N97" s="84">
        <f>IF(LEFT(D97,4)*1&lt;LEFT('General inputs'!$I$18,4)*1+1,"",SUMIF('Uncommissioned assets'!$F$22:$F$218,$D97,'Uncommissioned assets'!$P$22:$P$218))</f>
        <v>0</v>
      </c>
      <c r="O97" s="84">
        <f>IF(N97="","",N97/(1+'General inputs'!$H$32)^C97)</f>
        <v>0</v>
      </c>
      <c r="Q97" s="89">
        <v>41531240.271200001</v>
      </c>
      <c r="R97" s="84">
        <f>IF(OR(LEFT(D97,4)*1&lt;LEFT('General inputs'!$I$16,4)*1,LEFT(D97,4)*1&gt;LEFT('General inputs'!$I$16,4)+'General inputs'!$H$38-1),"",Q97/(1+'General inputs'!$H$34)^C97)</f>
        <v>18645523.262001362</v>
      </c>
      <c r="T97" s="89">
        <v>18416639.446066435</v>
      </c>
      <c r="U97" s="84">
        <f>IF(OR(LEFT(D97,4)*1&lt;LEFT('General inputs'!$I$16,4)*1,LEFT(D97,4)*1&gt;LEFT('General inputs'!$I$16,4)+'General inputs'!$H$38-1),"",T97/(1+'General inputs'!$H$34)^C97)</f>
        <v>8268182.624867267</v>
      </c>
      <c r="V97" s="56"/>
    </row>
    <row r="98" spans="2:22" x14ac:dyDescent="0.25">
      <c r="B98" s="55"/>
      <c r="C98" s="28">
        <f>IF(D98='General inputs'!$I$16,0,IF(D98&lt;'General inputs'!$I$16,C99-1,C97+1))</f>
        <v>30</v>
      </c>
      <c r="D98" s="28" t="str">
        <f t="shared" si="1"/>
        <v>2054-55</v>
      </c>
      <c r="E98" s="84" t="str">
        <f>IF(LEFT(D98,4)*1&gt;LEFT('General inputs'!$I$16,4)+'General inputs'!$H$38-1,"",'ET inputs'!D71)</f>
        <v/>
      </c>
      <c r="F98" s="84" t="str">
        <f>IF(LEFT(D98,4)*1&gt;LEFT('General inputs'!$I$16,4)+'General inputs'!$H$38-1,"",E98/(1+'General inputs'!$H$30)^C98)</f>
        <v/>
      </c>
      <c r="G98" s="84" t="str">
        <f>IF(LEFT(D98,4)*1&gt;LEFT('General inputs'!$I$16,4)+'General inputs'!$H$38-1,"",E98/(1+'General inputs'!$H$32)^C98)</f>
        <v/>
      </c>
      <c r="H98" s="84" t="str">
        <f>IF(LEFT(D98,4)*1&lt;LEFT('General inputs'!$I$16,4)*1,"",IF(LEFT(D98,4)*1&gt;LEFT('General inputs'!$I$16,4)+'General inputs'!$H$38-1,"",E98/(1+'General inputs'!$H$34)^C98))</f>
        <v/>
      </c>
      <c r="J98" s="114"/>
      <c r="K98" s="114"/>
      <c r="L98" s="84" t="str">
        <f>IF(LEFT(D98,4)*1&gt;LEFT('General inputs'!$I$18,4)*1,"",SUMIF('Post-1996 commissioned assets'!$F$22:$F$222,$D98,'Post-1996 commissioned assets'!$P$22:$P$222))</f>
        <v/>
      </c>
      <c r="M98" s="84" t="str">
        <f>IF(L98="","",L98/(1+'General inputs'!$H$32)^C98)</f>
        <v/>
      </c>
      <c r="N98" s="84">
        <f>IF(LEFT(D98,4)*1&lt;LEFT('General inputs'!$I$18,4)*1+1,"",SUMIF('Uncommissioned assets'!$F$22:$F$218,$D98,'Uncommissioned assets'!$P$22:$P$218))</f>
        <v>0</v>
      </c>
      <c r="O98" s="84">
        <f>IF(N98="","",N98/(1+'General inputs'!$H$32)^C98)</f>
        <v>0</v>
      </c>
      <c r="Q98" s="39"/>
      <c r="R98" s="84" t="str">
        <f>IF(OR(LEFT(D98,4)*1&lt;LEFT('General inputs'!$I$16,4)*1,LEFT(D98,4)*1&gt;LEFT('General inputs'!$I$16,4)+'General inputs'!$H$38-1),"",Q98/(1+'General inputs'!$H$34)^C98)</f>
        <v/>
      </c>
      <c r="T98" s="39"/>
      <c r="U98" s="84" t="str">
        <f>IF(OR(LEFT(D98,4)*1&lt;LEFT('General inputs'!$I$16,4)*1,LEFT(D98,4)*1&gt;LEFT('General inputs'!$I$16,4)+'General inputs'!$H$38-1),"",T98/(1+'General inputs'!$H$34)^C98)</f>
        <v/>
      </c>
      <c r="V98" s="56"/>
    </row>
    <row r="99" spans="2:22" x14ac:dyDescent="0.25">
      <c r="B99" s="55"/>
      <c r="C99" s="28">
        <f>IF(D99='General inputs'!$I$16,0,IF(D99&lt;'General inputs'!$I$16,C100-1,C98+1))</f>
        <v>31</v>
      </c>
      <c r="D99" s="28" t="str">
        <f t="shared" si="1"/>
        <v>2055-56</v>
      </c>
      <c r="E99" s="84" t="str">
        <f>IF(LEFT(D99,4)*1&gt;LEFT('General inputs'!$I$16,4)+'General inputs'!$H$38-1,"",'ET inputs'!D72)</f>
        <v/>
      </c>
      <c r="F99" s="84" t="str">
        <f>IF(LEFT(D99,4)*1&gt;LEFT('General inputs'!$I$16,4)+'General inputs'!$H$38-1,"",E99/(1+'General inputs'!$H$30)^C99)</f>
        <v/>
      </c>
      <c r="G99" s="84" t="str">
        <f>IF(LEFT(D99,4)*1&gt;LEFT('General inputs'!$I$16,4)+'General inputs'!$H$38-1,"",E99/(1+'General inputs'!$H$32)^C99)</f>
        <v/>
      </c>
      <c r="H99" s="84" t="str">
        <f>IF(LEFT(D99,4)*1&lt;LEFT('General inputs'!$I$16,4)*1,"",IF(LEFT(D99,4)*1&gt;LEFT('General inputs'!$I$16,4)+'General inputs'!$H$38-1,"",E99/(1+'General inputs'!$H$34)^C99))</f>
        <v/>
      </c>
      <c r="J99" s="114"/>
      <c r="K99" s="114"/>
      <c r="L99" s="84" t="str">
        <f>IF(LEFT(D99,4)*1&gt;LEFT('General inputs'!$I$18,4)*1,"",SUMIF('Post-1996 commissioned assets'!$F$22:$F$222,$D99,'Post-1996 commissioned assets'!$P$22:$P$222))</f>
        <v/>
      </c>
      <c r="M99" s="84" t="str">
        <f>IF(L99="","",L99/(1+'General inputs'!$H$32)^C99)</f>
        <v/>
      </c>
      <c r="N99" s="84">
        <f>IF(LEFT(D99,4)*1&lt;LEFT('General inputs'!$I$18,4)*1+1,"",SUMIF('Uncommissioned assets'!$F$22:$F$218,$D99,'Uncommissioned assets'!$P$22:$P$218))</f>
        <v>0</v>
      </c>
      <c r="O99" s="84">
        <f>IF(N99="","",N99/(1+'General inputs'!$H$32)^C99)</f>
        <v>0</v>
      </c>
      <c r="Q99" s="39"/>
      <c r="R99" s="84" t="str">
        <f>IF(OR(LEFT(D99,4)*1&lt;LEFT('General inputs'!$I$16,4)*1,LEFT(D99,4)*1&gt;LEFT('General inputs'!$I$16,4)+'General inputs'!$H$38-1),"",Q99/(1+'General inputs'!$H$34)^C99)</f>
        <v/>
      </c>
      <c r="T99" s="39"/>
      <c r="U99" s="84" t="str">
        <f>IF(OR(LEFT(D99,4)*1&lt;LEFT('General inputs'!$I$16,4)*1,LEFT(D99,4)*1&gt;LEFT('General inputs'!$I$16,4)+'General inputs'!$H$38-1),"",T99/(1+'General inputs'!$H$34)^C99)</f>
        <v/>
      </c>
      <c r="V99" s="56"/>
    </row>
    <row r="100" spans="2:22" x14ac:dyDescent="0.25">
      <c r="B100" s="55"/>
      <c r="C100" s="28">
        <f>IF(D100='General inputs'!$I$16,0,IF(D100&lt;'General inputs'!$I$16,C101-1,C99+1))</f>
        <v>32</v>
      </c>
      <c r="D100" s="28" t="str">
        <f t="shared" ref="D100:D122" si="3">LEFT(D99,4)+1&amp;"-"&amp;RIGHT(D99,2)+1</f>
        <v>2056-57</v>
      </c>
      <c r="E100" s="84" t="str">
        <f>IF(LEFT(D100,4)*1&gt;LEFT('General inputs'!$I$16,4)+'General inputs'!$H$38-1,"",'ET inputs'!D73)</f>
        <v/>
      </c>
      <c r="F100" s="84" t="str">
        <f>IF(LEFT(D100,4)*1&gt;LEFT('General inputs'!$I$16,4)+'General inputs'!$H$38-1,"",E100/(1+'General inputs'!$H$30)^C100)</f>
        <v/>
      </c>
      <c r="G100" s="84" t="str">
        <f>IF(LEFT(D100,4)*1&gt;LEFT('General inputs'!$I$16,4)+'General inputs'!$H$38-1,"",E100/(1+'General inputs'!$H$32)^C100)</f>
        <v/>
      </c>
      <c r="H100" s="84" t="str">
        <f>IF(LEFT(D100,4)*1&lt;LEFT('General inputs'!$I$16,4)*1,"",IF(LEFT(D100,4)*1&gt;LEFT('General inputs'!$I$16,4)+'General inputs'!$H$38-1,"",E100/(1+'General inputs'!$H$34)^C100))</f>
        <v/>
      </c>
      <c r="J100" s="114"/>
      <c r="K100" s="114"/>
      <c r="L100" s="84" t="str">
        <f>IF(LEFT(D100,4)*1&gt;LEFT('General inputs'!$I$18,4)*1,"",SUMIF('Post-1996 commissioned assets'!$F$22:$F$222,$D100,'Post-1996 commissioned assets'!$P$22:$P$222))</f>
        <v/>
      </c>
      <c r="M100" s="84" t="str">
        <f>IF(L100="","",L100/(1+'General inputs'!$H$32)^C100)</f>
        <v/>
      </c>
      <c r="N100" s="84">
        <f>IF(LEFT(D100,4)*1&lt;LEFT('General inputs'!$I$18,4)*1+1,"",SUMIF('Uncommissioned assets'!$F$22:$F$218,$D100,'Uncommissioned assets'!$P$22:$P$218))</f>
        <v>0</v>
      </c>
      <c r="O100" s="84">
        <f>IF(N100="","",N100/(1+'General inputs'!$H$32)^C100)</f>
        <v>0</v>
      </c>
      <c r="Q100" s="39"/>
      <c r="R100" s="84" t="str">
        <f>IF(OR(LEFT(D100,4)*1&lt;LEFT('General inputs'!$I$16,4)*1,LEFT(D100,4)*1&gt;LEFT('General inputs'!$I$16,4)+'General inputs'!$H$38-1),"",Q100/(1+'General inputs'!$H$34)^C100)</f>
        <v/>
      </c>
      <c r="T100" s="39"/>
      <c r="U100" s="84" t="str">
        <f>IF(OR(LEFT(D100,4)*1&lt;LEFT('General inputs'!$I$16,4)*1,LEFT(D100,4)*1&gt;LEFT('General inputs'!$I$16,4)+'General inputs'!$H$38-1),"",T100/(1+'General inputs'!$H$34)^C100)</f>
        <v/>
      </c>
      <c r="V100" s="56"/>
    </row>
    <row r="101" spans="2:22" x14ac:dyDescent="0.25">
      <c r="B101" s="55"/>
      <c r="C101" s="28">
        <f>IF(D101='General inputs'!$I$16,0,IF(D101&lt;'General inputs'!$I$16,C102-1,C100+1))</f>
        <v>33</v>
      </c>
      <c r="D101" s="28" t="str">
        <f t="shared" si="3"/>
        <v>2057-58</v>
      </c>
      <c r="E101" s="84" t="str">
        <f>IF(LEFT(D101,4)*1&gt;LEFT('General inputs'!$I$16,4)+'General inputs'!$H$38-1,"",'ET inputs'!D74)</f>
        <v/>
      </c>
      <c r="F101" s="84" t="str">
        <f>IF(LEFT(D101,4)*1&gt;LEFT('General inputs'!$I$16,4)+'General inputs'!$H$38-1,"",E101/(1+'General inputs'!$H$30)^C101)</f>
        <v/>
      </c>
      <c r="G101" s="84" t="str">
        <f>IF(LEFT(D101,4)*1&gt;LEFT('General inputs'!$I$16,4)+'General inputs'!$H$38-1,"",E101/(1+'General inputs'!$H$32)^C101)</f>
        <v/>
      </c>
      <c r="H101" s="84" t="str">
        <f>IF(LEFT(D101,4)*1&lt;LEFT('General inputs'!$I$16,4)*1,"",IF(LEFT(D101,4)*1&gt;LEFT('General inputs'!$I$16,4)+'General inputs'!$H$38-1,"",E101/(1+'General inputs'!$H$34)^C101))</f>
        <v/>
      </c>
      <c r="J101" s="114"/>
      <c r="K101" s="114"/>
      <c r="L101" s="84" t="str">
        <f>IF(LEFT(D101,4)*1&gt;LEFT('General inputs'!$I$18,4)*1,"",SUMIF('Post-1996 commissioned assets'!$F$22:$F$222,$D101,'Post-1996 commissioned assets'!$P$22:$P$222))</f>
        <v/>
      </c>
      <c r="M101" s="84" t="str">
        <f>IF(L101="","",L101/(1+'General inputs'!$H$32)^C101)</f>
        <v/>
      </c>
      <c r="N101" s="84">
        <f>IF(LEFT(D101,4)*1&lt;LEFT('General inputs'!$I$18,4)*1+1,"",SUMIF('Uncommissioned assets'!$F$22:$F$218,$D101,'Uncommissioned assets'!$P$22:$P$218))</f>
        <v>0</v>
      </c>
      <c r="O101" s="84">
        <f>IF(N101="","",N101/(1+'General inputs'!$H$32)^C101)</f>
        <v>0</v>
      </c>
      <c r="Q101" s="39"/>
      <c r="R101" s="84" t="str">
        <f>IF(OR(LEFT(D101,4)*1&lt;LEFT('General inputs'!$I$16,4)*1,LEFT(D101,4)*1&gt;LEFT('General inputs'!$I$16,4)+'General inputs'!$H$38-1),"",Q101/(1+'General inputs'!$H$34)^C101)</f>
        <v/>
      </c>
      <c r="T101" s="39"/>
      <c r="U101" s="84" t="str">
        <f>IF(OR(LEFT(D101,4)*1&lt;LEFT('General inputs'!$I$16,4)*1,LEFT(D101,4)*1&gt;LEFT('General inputs'!$I$16,4)+'General inputs'!$H$38-1),"",T101/(1+'General inputs'!$H$34)^C101)</f>
        <v/>
      </c>
      <c r="V101" s="56"/>
    </row>
    <row r="102" spans="2:22" x14ac:dyDescent="0.25">
      <c r="B102" s="55"/>
      <c r="C102" s="28">
        <f>IF(D102='General inputs'!$I$16,0,IF(D102&lt;'General inputs'!$I$16,C103-1,C101+1))</f>
        <v>34</v>
      </c>
      <c r="D102" s="28" t="str">
        <f t="shared" si="3"/>
        <v>2058-59</v>
      </c>
      <c r="E102" s="84" t="str">
        <f>IF(LEFT(D102,4)*1&gt;LEFT('General inputs'!$I$16,4)+'General inputs'!$H$38-1,"",'ET inputs'!D75)</f>
        <v/>
      </c>
      <c r="F102" s="84" t="str">
        <f>IF(LEFT(D102,4)*1&gt;LEFT('General inputs'!$I$16,4)+'General inputs'!$H$38-1,"",E102/(1+'General inputs'!$H$30)^C102)</f>
        <v/>
      </c>
      <c r="G102" s="84" t="str">
        <f>IF(LEFT(D102,4)*1&gt;LEFT('General inputs'!$I$16,4)+'General inputs'!$H$38-1,"",E102/(1+'General inputs'!$H$32)^C102)</f>
        <v/>
      </c>
      <c r="H102" s="84" t="str">
        <f>IF(LEFT(D102,4)*1&lt;LEFT('General inputs'!$I$16,4)*1,"",IF(LEFT(D102,4)*1&gt;LEFT('General inputs'!$I$16,4)+'General inputs'!$H$38-1,"",E102/(1+'General inputs'!$H$34)^C102))</f>
        <v/>
      </c>
      <c r="J102" s="114"/>
      <c r="K102" s="114"/>
      <c r="L102" s="84" t="str">
        <f>IF(LEFT(D102,4)*1&gt;LEFT('General inputs'!$I$18,4)*1,"",SUMIF('Post-1996 commissioned assets'!$F$22:$F$222,$D102,'Post-1996 commissioned assets'!$P$22:$P$222))</f>
        <v/>
      </c>
      <c r="M102" s="84" t="str">
        <f>IF(L102="","",L102/(1+'General inputs'!$H$32)^C102)</f>
        <v/>
      </c>
      <c r="N102" s="84">
        <f>IF(LEFT(D102,4)*1&lt;LEFT('General inputs'!$I$18,4)*1+1,"",SUMIF('Uncommissioned assets'!$F$22:$F$218,$D102,'Uncommissioned assets'!$P$22:$P$218))</f>
        <v>0</v>
      </c>
      <c r="O102" s="84">
        <f>IF(N102="","",N102/(1+'General inputs'!$H$32)^C102)</f>
        <v>0</v>
      </c>
      <c r="Q102" s="39"/>
      <c r="R102" s="84" t="str">
        <f>IF(OR(LEFT(D102,4)*1&lt;LEFT('General inputs'!$I$16,4)*1,LEFT(D102,4)*1&gt;LEFT('General inputs'!$I$16,4)+'General inputs'!$H$38-1),"",Q102/(1+'General inputs'!$H$34)^C102)</f>
        <v/>
      </c>
      <c r="T102" s="39"/>
      <c r="U102" s="84" t="str">
        <f>IF(OR(LEFT(D102,4)*1&lt;LEFT('General inputs'!$I$16,4)*1,LEFT(D102,4)*1&gt;LEFT('General inputs'!$I$16,4)+'General inputs'!$H$38-1),"",T102/(1+'General inputs'!$H$34)^C102)</f>
        <v/>
      </c>
      <c r="V102" s="56"/>
    </row>
    <row r="103" spans="2:22" x14ac:dyDescent="0.25">
      <c r="B103" s="55"/>
      <c r="C103" s="28">
        <f>IF(D103='General inputs'!$I$16,0,IF(D103&lt;'General inputs'!$I$16,C104-1,C102+1))</f>
        <v>35</v>
      </c>
      <c r="D103" s="28" t="str">
        <f t="shared" si="3"/>
        <v>2059-60</v>
      </c>
      <c r="E103" s="84" t="str">
        <f>IF(LEFT(D103,4)*1&gt;LEFT('General inputs'!$I$16,4)+'General inputs'!$H$38-1,"",'ET inputs'!D76)</f>
        <v/>
      </c>
      <c r="F103" s="84" t="str">
        <f>IF(LEFT(D103,4)*1&gt;LEFT('General inputs'!$I$16,4)+'General inputs'!$H$38-1,"",E103/(1+'General inputs'!$H$30)^C103)</f>
        <v/>
      </c>
      <c r="G103" s="84" t="str">
        <f>IF(LEFT(D103,4)*1&gt;LEFT('General inputs'!$I$16,4)+'General inputs'!$H$38-1,"",E103/(1+'General inputs'!$H$32)^C103)</f>
        <v/>
      </c>
      <c r="H103" s="84" t="str">
        <f>IF(LEFT(D103,4)*1&lt;LEFT('General inputs'!$I$16,4)*1,"",IF(LEFT(D103,4)*1&gt;LEFT('General inputs'!$I$16,4)+'General inputs'!$H$38-1,"",E103/(1+'General inputs'!$H$34)^C103))</f>
        <v/>
      </c>
      <c r="J103" s="114"/>
      <c r="K103" s="114"/>
      <c r="L103" s="84" t="str">
        <f>IF(LEFT(D103,4)*1&gt;LEFT('General inputs'!$I$18,4)*1,"",SUMIF('Post-1996 commissioned assets'!$F$22:$F$222,$D103,'Post-1996 commissioned assets'!$P$22:$P$222))</f>
        <v/>
      </c>
      <c r="M103" s="84" t="str">
        <f>IF(L103="","",L103/(1+'General inputs'!$H$32)^C103)</f>
        <v/>
      </c>
      <c r="N103" s="84">
        <f>IF(LEFT(D103,4)*1&lt;LEFT('General inputs'!$I$18,4)*1+1,"",SUMIF('Uncommissioned assets'!$F$22:$F$218,$D103,'Uncommissioned assets'!$P$22:$P$218))</f>
        <v>0</v>
      </c>
      <c r="O103" s="84">
        <f>IF(N103="","",N103/(1+'General inputs'!$H$32)^C103)</f>
        <v>0</v>
      </c>
      <c r="Q103" s="39"/>
      <c r="R103" s="84" t="str">
        <f>IF(OR(LEFT(D103,4)*1&lt;LEFT('General inputs'!$I$16,4)*1,LEFT(D103,4)*1&gt;LEFT('General inputs'!$I$16,4)+'General inputs'!$H$38-1),"",Q103/(1+'General inputs'!$H$34)^C103)</f>
        <v/>
      </c>
      <c r="T103" s="39"/>
      <c r="U103" s="84" t="str">
        <f>IF(OR(LEFT(D103,4)*1&lt;LEFT('General inputs'!$I$16,4)*1,LEFT(D103,4)*1&gt;LEFT('General inputs'!$I$16,4)+'General inputs'!$H$38-1),"",T103/(1+'General inputs'!$H$34)^C103)</f>
        <v/>
      </c>
      <c r="V103" s="56"/>
    </row>
    <row r="104" spans="2:22" x14ac:dyDescent="0.25">
      <c r="B104" s="55"/>
      <c r="C104" s="28">
        <f>IF(D104='General inputs'!$I$16,0,IF(D104&lt;'General inputs'!$I$16,C105-1,C103+1))</f>
        <v>36</v>
      </c>
      <c r="D104" s="28" t="str">
        <f t="shared" si="3"/>
        <v>2060-61</v>
      </c>
      <c r="E104" s="84" t="str">
        <f>IF(LEFT(D104,4)*1&gt;LEFT('General inputs'!$I$16,4)+'General inputs'!$H$38-1,"",'ET inputs'!D77)</f>
        <v/>
      </c>
      <c r="F104" s="84" t="str">
        <f>IF(LEFT(D104,4)*1&gt;LEFT('General inputs'!$I$16,4)+'General inputs'!$H$38-1,"",E104/(1+'General inputs'!$H$30)^C104)</f>
        <v/>
      </c>
      <c r="G104" s="84" t="str">
        <f>IF(LEFT(D104,4)*1&gt;LEFT('General inputs'!$I$16,4)+'General inputs'!$H$38-1,"",E104/(1+'General inputs'!$H$32)^C104)</f>
        <v/>
      </c>
      <c r="H104" s="84" t="str">
        <f>IF(LEFT(D104,4)*1&lt;LEFT('General inputs'!$I$16,4)*1,"",IF(LEFT(D104,4)*1&gt;LEFT('General inputs'!$I$16,4)+'General inputs'!$H$38-1,"",E104/(1+'General inputs'!$H$34)^C104))</f>
        <v/>
      </c>
      <c r="J104" s="114"/>
      <c r="K104" s="114"/>
      <c r="L104" s="84" t="str">
        <f>IF(LEFT(D104,4)*1&gt;LEFT('General inputs'!$I$18,4)*1,"",SUMIF('Post-1996 commissioned assets'!$F$22:$F$222,$D104,'Post-1996 commissioned assets'!$P$22:$P$222))</f>
        <v/>
      </c>
      <c r="M104" s="84" t="str">
        <f>IF(L104="","",L104/(1+'General inputs'!$H$32)^C104)</f>
        <v/>
      </c>
      <c r="N104" s="84">
        <f>IF(LEFT(D104,4)*1&lt;LEFT('General inputs'!$I$18,4)*1+1,"",SUMIF('Uncommissioned assets'!$F$22:$F$218,$D104,'Uncommissioned assets'!$P$22:$P$218))</f>
        <v>0</v>
      </c>
      <c r="O104" s="84">
        <f>IF(N104="","",N104/(1+'General inputs'!$H$32)^C104)</f>
        <v>0</v>
      </c>
      <c r="Q104" s="39"/>
      <c r="R104" s="84" t="str">
        <f>IF(OR(LEFT(D104,4)*1&lt;LEFT('General inputs'!$I$16,4)*1,LEFT(D104,4)*1&gt;LEFT('General inputs'!$I$16,4)+'General inputs'!$H$38-1),"",Q104/(1+'General inputs'!$H$34)^C104)</f>
        <v/>
      </c>
      <c r="T104" s="39"/>
      <c r="U104" s="84" t="str">
        <f>IF(OR(LEFT(D104,4)*1&lt;LEFT('General inputs'!$I$16,4)*1,LEFT(D104,4)*1&gt;LEFT('General inputs'!$I$16,4)+'General inputs'!$H$38-1),"",T104/(1+'General inputs'!$H$34)^C104)</f>
        <v/>
      </c>
      <c r="V104" s="56"/>
    </row>
    <row r="105" spans="2:22" x14ac:dyDescent="0.25">
      <c r="B105" s="55"/>
      <c r="C105" s="28">
        <f>IF(D105='General inputs'!$I$16,0,IF(D105&lt;'General inputs'!$I$16,C106-1,C104+1))</f>
        <v>37</v>
      </c>
      <c r="D105" s="28" t="str">
        <f t="shared" si="3"/>
        <v>2061-62</v>
      </c>
      <c r="E105" s="84" t="str">
        <f>IF(LEFT(D105,4)*1&gt;LEFT('General inputs'!$I$16,4)+'General inputs'!$H$38-1,"",'ET inputs'!D78)</f>
        <v/>
      </c>
      <c r="F105" s="84" t="str">
        <f>IF(LEFT(D105,4)*1&gt;LEFT('General inputs'!$I$16,4)+'General inputs'!$H$38-1,"",E105/(1+'General inputs'!$H$30)^C105)</f>
        <v/>
      </c>
      <c r="G105" s="84" t="str">
        <f>IF(LEFT(D105,4)*1&gt;LEFT('General inputs'!$I$16,4)+'General inputs'!$H$38-1,"",E105/(1+'General inputs'!$H$32)^C105)</f>
        <v/>
      </c>
      <c r="H105" s="84" t="str">
        <f>IF(LEFT(D105,4)*1&lt;LEFT('General inputs'!$I$16,4)*1,"",IF(LEFT(D105,4)*1&gt;LEFT('General inputs'!$I$16,4)+'General inputs'!$H$38-1,"",E105/(1+'General inputs'!$H$34)^C105))</f>
        <v/>
      </c>
      <c r="J105" s="114"/>
      <c r="K105" s="114"/>
      <c r="L105" s="84" t="str">
        <f>IF(LEFT(D105,4)*1&gt;LEFT('General inputs'!$I$18,4)*1,"",SUMIF('Post-1996 commissioned assets'!$F$22:$F$222,$D105,'Post-1996 commissioned assets'!$P$22:$P$222))</f>
        <v/>
      </c>
      <c r="M105" s="84" t="str">
        <f>IF(L105="","",L105/(1+'General inputs'!$H$32)^C105)</f>
        <v/>
      </c>
      <c r="N105" s="84">
        <f>IF(LEFT(D105,4)*1&lt;LEFT('General inputs'!$I$18,4)*1+1,"",SUMIF('Uncommissioned assets'!$F$22:$F$218,$D105,'Uncommissioned assets'!$P$22:$P$218))</f>
        <v>0</v>
      </c>
      <c r="O105" s="84">
        <f>IF(N105="","",N105/(1+'General inputs'!$H$32)^C105)</f>
        <v>0</v>
      </c>
      <c r="Q105" s="39"/>
      <c r="R105" s="84" t="str">
        <f>IF(OR(LEFT(D105,4)*1&lt;LEFT('General inputs'!$I$16,4)*1,LEFT(D105,4)*1&gt;LEFT('General inputs'!$I$16,4)+'General inputs'!$H$38-1),"",Q105/(1+'General inputs'!$H$34)^C105)</f>
        <v/>
      </c>
      <c r="T105" s="39"/>
      <c r="U105" s="84" t="str">
        <f>IF(OR(LEFT(D105,4)*1&lt;LEFT('General inputs'!$I$16,4)*1,LEFT(D105,4)*1&gt;LEFT('General inputs'!$I$16,4)+'General inputs'!$H$38-1),"",T105/(1+'General inputs'!$H$34)^C105)</f>
        <v/>
      </c>
      <c r="V105" s="56"/>
    </row>
    <row r="106" spans="2:22" x14ac:dyDescent="0.25">
      <c r="B106" s="55"/>
      <c r="C106" s="28">
        <f>IF(D106='General inputs'!$I$16,0,IF(D106&lt;'General inputs'!$I$16,C107-1,C105+1))</f>
        <v>38</v>
      </c>
      <c r="D106" s="28" t="str">
        <f t="shared" si="3"/>
        <v>2062-63</v>
      </c>
      <c r="E106" s="84" t="str">
        <f>IF(LEFT(D106,4)*1&gt;LEFT('General inputs'!$I$16,4)+'General inputs'!$H$38-1,"",'ET inputs'!D79)</f>
        <v/>
      </c>
      <c r="F106" s="84" t="str">
        <f>IF(LEFT(D106,4)*1&gt;LEFT('General inputs'!$I$16,4)+'General inputs'!$H$38-1,"",E106/(1+'General inputs'!$H$30)^C106)</f>
        <v/>
      </c>
      <c r="G106" s="84" t="str">
        <f>IF(LEFT(D106,4)*1&gt;LEFT('General inputs'!$I$16,4)+'General inputs'!$H$38-1,"",E106/(1+'General inputs'!$H$32)^C106)</f>
        <v/>
      </c>
      <c r="H106" s="84" t="str">
        <f>IF(LEFT(D106,4)*1&lt;LEFT('General inputs'!$I$16,4)*1,"",IF(LEFT(D106,4)*1&gt;LEFT('General inputs'!$I$16,4)+'General inputs'!$H$38-1,"",E106/(1+'General inputs'!$H$34)^C106))</f>
        <v/>
      </c>
      <c r="J106" s="114"/>
      <c r="K106" s="114"/>
      <c r="L106" s="84" t="str">
        <f>IF(LEFT(D106,4)*1&gt;LEFT('General inputs'!$I$18,4)*1,"",SUMIF('Post-1996 commissioned assets'!$F$22:$F$222,$D106,'Post-1996 commissioned assets'!$P$22:$P$222))</f>
        <v/>
      </c>
      <c r="M106" s="84" t="str">
        <f>IF(L106="","",L106/(1+'General inputs'!$H$32)^C106)</f>
        <v/>
      </c>
      <c r="N106" s="84">
        <f>IF(LEFT(D106,4)*1&lt;LEFT('General inputs'!$I$18,4)*1+1,"",SUMIF('Uncommissioned assets'!$F$22:$F$218,$D106,'Uncommissioned assets'!$P$22:$P$218))</f>
        <v>0</v>
      </c>
      <c r="O106" s="84">
        <f>IF(N106="","",N106/(1+'General inputs'!$H$32)^C106)</f>
        <v>0</v>
      </c>
      <c r="Q106" s="39"/>
      <c r="R106" s="84" t="str">
        <f>IF(OR(LEFT(D106,4)*1&lt;LEFT('General inputs'!$I$16,4)*1,LEFT(D106,4)*1&gt;LEFT('General inputs'!$I$16,4)+'General inputs'!$H$38-1),"",Q106/(1+'General inputs'!$H$34)^C106)</f>
        <v/>
      </c>
      <c r="T106" s="39"/>
      <c r="U106" s="84" t="str">
        <f>IF(OR(LEFT(D106,4)*1&lt;LEFT('General inputs'!$I$16,4)*1,LEFT(D106,4)*1&gt;LEFT('General inputs'!$I$16,4)+'General inputs'!$H$38-1),"",T106/(1+'General inputs'!$H$34)^C106)</f>
        <v/>
      </c>
      <c r="V106" s="56"/>
    </row>
    <row r="107" spans="2:22" x14ac:dyDescent="0.25">
      <c r="B107" s="55"/>
      <c r="C107" s="28">
        <f>IF(D107='General inputs'!$I$16,0,IF(D107&lt;'General inputs'!$I$16,C108-1,C106+1))</f>
        <v>39</v>
      </c>
      <c r="D107" s="28" t="str">
        <f t="shared" si="3"/>
        <v>2063-64</v>
      </c>
      <c r="E107" s="84" t="str">
        <f>IF(LEFT(D107,4)*1&gt;LEFT('General inputs'!$I$16,4)+'General inputs'!$H$38-1,"",'ET inputs'!D80)</f>
        <v/>
      </c>
      <c r="F107" s="84" t="str">
        <f>IF(LEFT(D107,4)*1&gt;LEFT('General inputs'!$I$16,4)+'General inputs'!$H$38-1,"",E107/(1+'General inputs'!$H$30)^C107)</f>
        <v/>
      </c>
      <c r="G107" s="84" t="str">
        <f>IF(LEFT(D107,4)*1&gt;LEFT('General inputs'!$I$16,4)+'General inputs'!$H$38-1,"",E107/(1+'General inputs'!$H$32)^C107)</f>
        <v/>
      </c>
      <c r="H107" s="84" t="str">
        <f>IF(LEFT(D107,4)*1&lt;LEFT('General inputs'!$I$16,4)*1,"",IF(LEFT(D107,4)*1&gt;LEFT('General inputs'!$I$16,4)+'General inputs'!$H$38-1,"",E107/(1+'General inputs'!$H$34)^C107))</f>
        <v/>
      </c>
      <c r="J107" s="114"/>
      <c r="K107" s="114"/>
      <c r="L107" s="84" t="str">
        <f>IF(LEFT(D107,4)*1&gt;LEFT('General inputs'!$I$18,4)*1,"",SUMIF('Post-1996 commissioned assets'!$F$22:$F$222,$D107,'Post-1996 commissioned assets'!$P$22:$P$222))</f>
        <v/>
      </c>
      <c r="M107" s="84" t="str">
        <f>IF(L107="","",L107/(1+'General inputs'!$H$32)^C107)</f>
        <v/>
      </c>
      <c r="N107" s="84">
        <f>IF(LEFT(D107,4)*1&lt;LEFT('General inputs'!$I$18,4)*1+1,"",SUMIF('Uncommissioned assets'!$F$22:$F$218,$D107,'Uncommissioned assets'!$P$22:$P$218))</f>
        <v>0</v>
      </c>
      <c r="O107" s="84">
        <f>IF(N107="","",N107/(1+'General inputs'!$H$32)^C107)</f>
        <v>0</v>
      </c>
      <c r="Q107" s="39"/>
      <c r="R107" s="84" t="str">
        <f>IF(OR(LEFT(D107,4)*1&lt;LEFT('General inputs'!$I$16,4)*1,LEFT(D107,4)*1&gt;LEFT('General inputs'!$I$16,4)+'General inputs'!$H$38-1),"",Q107/(1+'General inputs'!$H$34)^C107)</f>
        <v/>
      </c>
      <c r="T107" s="39"/>
      <c r="U107" s="84" t="str">
        <f>IF(OR(LEFT(D107,4)*1&lt;LEFT('General inputs'!$I$16,4)*1,LEFT(D107,4)*1&gt;LEFT('General inputs'!$I$16,4)+'General inputs'!$H$38-1),"",T107/(1+'General inputs'!$H$34)^C107)</f>
        <v/>
      </c>
      <c r="V107" s="56"/>
    </row>
    <row r="108" spans="2:22" x14ac:dyDescent="0.25">
      <c r="B108" s="55"/>
      <c r="C108" s="28">
        <f>IF(D108='General inputs'!$I$16,0,IF(D108&lt;'General inputs'!$I$16,C109-1,C107+1))</f>
        <v>40</v>
      </c>
      <c r="D108" s="28" t="str">
        <f t="shared" si="3"/>
        <v>2064-65</v>
      </c>
      <c r="E108" s="84" t="str">
        <f>IF(LEFT(D108,4)*1&gt;LEFT('General inputs'!$I$16,4)+'General inputs'!$H$38-1,"",'ET inputs'!D81)</f>
        <v/>
      </c>
      <c r="F108" s="84" t="str">
        <f>IF(LEFT(D108,4)*1&gt;LEFT('General inputs'!$I$16,4)+'General inputs'!$H$38-1,"",E108/(1+'General inputs'!$H$30)^C108)</f>
        <v/>
      </c>
      <c r="G108" s="84" t="str">
        <f>IF(LEFT(D108,4)*1&gt;LEFT('General inputs'!$I$16,4)+'General inputs'!$H$38-1,"",E108/(1+'General inputs'!$H$32)^C108)</f>
        <v/>
      </c>
      <c r="H108" s="84" t="str">
        <f>IF(LEFT(D108,4)*1&lt;LEFT('General inputs'!$I$16,4)*1,"",IF(LEFT(D108,4)*1&gt;LEFT('General inputs'!$I$16,4)+'General inputs'!$H$38-1,"",E108/(1+'General inputs'!$H$34)^C108))</f>
        <v/>
      </c>
      <c r="J108" s="114"/>
      <c r="K108" s="114"/>
      <c r="L108" s="84" t="str">
        <f>IF(LEFT(D108,4)*1&gt;LEFT('General inputs'!$I$18,4)*1,"",SUMIF('Post-1996 commissioned assets'!$F$22:$F$222,$D108,'Post-1996 commissioned assets'!$P$22:$P$222))</f>
        <v/>
      </c>
      <c r="M108" s="84" t="str">
        <f>IF(L108="","",L108/(1+'General inputs'!$H$32)^C108)</f>
        <v/>
      </c>
      <c r="N108" s="84">
        <f>IF(LEFT(D108,4)*1&lt;LEFT('General inputs'!$I$18,4)*1+1,"",SUMIF('Uncommissioned assets'!$F$22:$F$218,$D108,'Uncommissioned assets'!$P$22:$P$218))</f>
        <v>0</v>
      </c>
      <c r="O108" s="84">
        <f>IF(N108="","",N108/(1+'General inputs'!$H$32)^C108)</f>
        <v>0</v>
      </c>
      <c r="Q108" s="39"/>
      <c r="R108" s="84" t="str">
        <f>IF(OR(LEFT(D108,4)*1&lt;LEFT('General inputs'!$I$16,4)*1,LEFT(D108,4)*1&gt;LEFT('General inputs'!$I$16,4)+'General inputs'!$H$38-1),"",Q108/(1+'General inputs'!$H$34)^C108)</f>
        <v/>
      </c>
      <c r="T108" s="39"/>
      <c r="U108" s="84" t="str">
        <f>IF(OR(LEFT(D108,4)*1&lt;LEFT('General inputs'!$I$16,4)*1,LEFT(D108,4)*1&gt;LEFT('General inputs'!$I$16,4)+'General inputs'!$H$38-1),"",T108/(1+'General inputs'!$H$34)^C108)</f>
        <v/>
      </c>
      <c r="V108" s="56"/>
    </row>
    <row r="109" spans="2:22" x14ac:dyDescent="0.25">
      <c r="B109" s="55"/>
      <c r="C109" s="28">
        <f>IF(D109='General inputs'!$I$16,0,IF(D109&lt;'General inputs'!$I$16,C110-1,C108+1))</f>
        <v>41</v>
      </c>
      <c r="D109" s="28" t="str">
        <f t="shared" si="3"/>
        <v>2065-66</v>
      </c>
      <c r="E109" s="84" t="str">
        <f>IF(LEFT(D109,4)*1&gt;LEFT('General inputs'!$I$16,4)+'General inputs'!$H$38-1,"",'ET inputs'!D82)</f>
        <v/>
      </c>
      <c r="F109" s="84" t="str">
        <f>IF(LEFT(D109,4)*1&gt;LEFT('General inputs'!$I$16,4)+'General inputs'!$H$38-1,"",E109/(1+'General inputs'!$H$30)^C109)</f>
        <v/>
      </c>
      <c r="G109" s="84" t="str">
        <f>IF(LEFT(D109,4)*1&gt;LEFT('General inputs'!$I$16,4)+'General inputs'!$H$38-1,"",E109/(1+'General inputs'!$H$32)^C109)</f>
        <v/>
      </c>
      <c r="H109" s="84" t="str">
        <f>IF(LEFT(D109,4)*1&lt;LEFT('General inputs'!$I$16,4)*1,"",IF(LEFT(D109,4)*1&gt;LEFT('General inputs'!$I$16,4)+'General inputs'!$H$38-1,"",E109/(1+'General inputs'!$H$34)^C109))</f>
        <v/>
      </c>
      <c r="J109" s="114"/>
      <c r="K109" s="114"/>
      <c r="L109" s="84" t="str">
        <f>IF(LEFT(D109,4)*1&gt;LEFT('General inputs'!$I$18,4)*1,"",SUMIF('Post-1996 commissioned assets'!$F$22:$F$222,$D109,'Post-1996 commissioned assets'!$P$22:$P$222))</f>
        <v/>
      </c>
      <c r="M109" s="84" t="str">
        <f>IF(L109="","",L109/(1+'General inputs'!$H$32)^C109)</f>
        <v/>
      </c>
      <c r="N109" s="84">
        <f>IF(LEFT(D109,4)*1&lt;LEFT('General inputs'!$I$18,4)*1+1,"",SUMIF('Uncommissioned assets'!$F$22:$F$218,$D109,'Uncommissioned assets'!$P$22:$P$218))</f>
        <v>0</v>
      </c>
      <c r="O109" s="84">
        <f>IF(N109="","",N109/(1+'General inputs'!$H$32)^C109)</f>
        <v>0</v>
      </c>
      <c r="Q109" s="39"/>
      <c r="R109" s="84" t="str">
        <f>IF(OR(LEFT(D109,4)*1&lt;LEFT('General inputs'!$I$16,4)*1,LEFT(D109,4)*1&gt;LEFT('General inputs'!$I$16,4)+'General inputs'!$H$38-1),"",Q109/(1+'General inputs'!$H$34)^C109)</f>
        <v/>
      </c>
      <c r="T109" s="39"/>
      <c r="U109" s="84" t="str">
        <f>IF(OR(LEFT(D109,4)*1&lt;LEFT('General inputs'!$I$16,4)*1,LEFT(D109,4)*1&gt;LEFT('General inputs'!$I$16,4)+'General inputs'!$H$38-1),"",T109/(1+'General inputs'!$H$34)^C109)</f>
        <v/>
      </c>
      <c r="V109" s="56"/>
    </row>
    <row r="110" spans="2:22" x14ac:dyDescent="0.25">
      <c r="B110" s="55"/>
      <c r="C110" s="28">
        <f>IF(D110='General inputs'!$I$16,0,IF(D110&lt;'General inputs'!$I$16,C111-1,C109+1))</f>
        <v>42</v>
      </c>
      <c r="D110" s="28" t="str">
        <f t="shared" si="3"/>
        <v>2066-67</v>
      </c>
      <c r="E110" s="84" t="str">
        <f>IF(LEFT(D110,4)*1&gt;LEFT('General inputs'!$I$16,4)+'General inputs'!$H$38-1,"",'ET inputs'!D83)</f>
        <v/>
      </c>
      <c r="F110" s="84" t="str">
        <f>IF(LEFT(D110,4)*1&gt;LEFT('General inputs'!$I$16,4)+'General inputs'!$H$38-1,"",E110/(1+'General inputs'!$H$30)^C110)</f>
        <v/>
      </c>
      <c r="G110" s="84" t="str">
        <f>IF(LEFT(D110,4)*1&gt;LEFT('General inputs'!$I$16,4)+'General inputs'!$H$38-1,"",E110/(1+'General inputs'!$H$32)^C110)</f>
        <v/>
      </c>
      <c r="H110" s="84" t="str">
        <f>IF(LEFT(D110,4)*1&lt;LEFT('General inputs'!$I$16,4)*1,"",IF(LEFT(D110,4)*1&gt;LEFT('General inputs'!$I$16,4)+'General inputs'!$H$38-1,"",E110/(1+'General inputs'!$H$34)^C110))</f>
        <v/>
      </c>
      <c r="J110" s="114"/>
      <c r="K110" s="114"/>
      <c r="L110" s="84" t="str">
        <f>IF(LEFT(D110,4)*1&gt;LEFT('General inputs'!$I$18,4)*1,"",SUMIF('Post-1996 commissioned assets'!$F$22:$F$222,$D110,'Post-1996 commissioned assets'!$P$22:$P$222))</f>
        <v/>
      </c>
      <c r="M110" s="84" t="str">
        <f>IF(L110="","",L110/(1+'General inputs'!$H$32)^C110)</f>
        <v/>
      </c>
      <c r="N110" s="84">
        <f>IF(LEFT(D110,4)*1&lt;LEFT('General inputs'!$I$18,4)*1+1,"",SUMIF('Uncommissioned assets'!$F$22:$F$218,$D110,'Uncommissioned assets'!$P$22:$P$218))</f>
        <v>0</v>
      </c>
      <c r="O110" s="84">
        <f>IF(N110="","",N110/(1+'General inputs'!$H$32)^C110)</f>
        <v>0</v>
      </c>
      <c r="Q110" s="39"/>
      <c r="R110" s="84" t="str">
        <f>IF(OR(LEFT(D110,4)*1&lt;LEFT('General inputs'!$I$16,4)*1,LEFT(D110,4)*1&gt;LEFT('General inputs'!$I$16,4)+'General inputs'!$H$38-1),"",Q110/(1+'General inputs'!$H$34)^C110)</f>
        <v/>
      </c>
      <c r="T110" s="39"/>
      <c r="U110" s="84" t="str">
        <f>IF(OR(LEFT(D110,4)*1&lt;LEFT('General inputs'!$I$16,4)*1,LEFT(D110,4)*1&gt;LEFT('General inputs'!$I$16,4)+'General inputs'!$H$38-1),"",T110/(1+'General inputs'!$H$34)^C110)</f>
        <v/>
      </c>
      <c r="V110" s="56"/>
    </row>
    <row r="111" spans="2:22" x14ac:dyDescent="0.25">
      <c r="B111" s="55"/>
      <c r="C111" s="28">
        <f>IF(D111='General inputs'!$I$16,0,IF(D111&lt;'General inputs'!$I$16,C112-1,C110+1))</f>
        <v>43</v>
      </c>
      <c r="D111" s="28" t="str">
        <f t="shared" si="3"/>
        <v>2067-68</v>
      </c>
      <c r="E111" s="84" t="str">
        <f>IF(LEFT(D111,4)*1&gt;LEFT('General inputs'!$I$16,4)+'General inputs'!$H$38-1,"",'ET inputs'!D84)</f>
        <v/>
      </c>
      <c r="F111" s="84" t="str">
        <f>IF(LEFT(D111,4)*1&gt;LEFT('General inputs'!$I$16,4)+'General inputs'!$H$38-1,"",E111/(1+'General inputs'!$H$30)^C111)</f>
        <v/>
      </c>
      <c r="G111" s="84" t="str">
        <f>IF(LEFT(D111,4)*1&gt;LEFT('General inputs'!$I$16,4)+'General inputs'!$H$38-1,"",E111/(1+'General inputs'!$H$32)^C111)</f>
        <v/>
      </c>
      <c r="H111" s="84" t="str">
        <f>IF(LEFT(D111,4)*1&lt;LEFT('General inputs'!$I$16,4)*1,"",IF(LEFT(D111,4)*1&gt;LEFT('General inputs'!$I$16,4)+'General inputs'!$H$38-1,"",E111/(1+'General inputs'!$H$34)^C111))</f>
        <v/>
      </c>
      <c r="J111" s="114"/>
      <c r="K111" s="114"/>
      <c r="L111" s="84" t="str">
        <f>IF(LEFT(D111,4)*1&gt;LEFT('General inputs'!$I$18,4)*1,"",SUMIF('Post-1996 commissioned assets'!$F$22:$F$222,$D111,'Post-1996 commissioned assets'!$P$22:$P$222))</f>
        <v/>
      </c>
      <c r="M111" s="84" t="str">
        <f>IF(L111="","",L111/(1+'General inputs'!$H$32)^C111)</f>
        <v/>
      </c>
      <c r="N111" s="84">
        <f>IF(LEFT(D111,4)*1&lt;LEFT('General inputs'!$I$18,4)*1+1,"",SUMIF('Uncommissioned assets'!$F$22:$F$218,$D111,'Uncommissioned assets'!$P$22:$P$218))</f>
        <v>0</v>
      </c>
      <c r="O111" s="84">
        <f>IF(N111="","",N111/(1+'General inputs'!$H$32)^C111)</f>
        <v>0</v>
      </c>
      <c r="Q111" s="39"/>
      <c r="R111" s="84" t="str">
        <f>IF(OR(LEFT(D111,4)*1&lt;LEFT('General inputs'!$I$16,4)*1,LEFT(D111,4)*1&gt;LEFT('General inputs'!$I$16,4)+'General inputs'!$H$38-1),"",Q111/(1+'General inputs'!$H$34)^C111)</f>
        <v/>
      </c>
      <c r="T111" s="39"/>
      <c r="U111" s="84" t="str">
        <f>IF(OR(LEFT(D111,4)*1&lt;LEFT('General inputs'!$I$16,4)*1,LEFT(D111,4)*1&gt;LEFT('General inputs'!$I$16,4)+'General inputs'!$H$38-1),"",T111/(1+'General inputs'!$H$34)^C111)</f>
        <v/>
      </c>
      <c r="V111" s="56"/>
    </row>
    <row r="112" spans="2:22" x14ac:dyDescent="0.25">
      <c r="B112" s="55"/>
      <c r="C112" s="28">
        <f>IF(D112='General inputs'!$I$16,0,IF(D112&lt;'General inputs'!$I$16,C113-1,C111+1))</f>
        <v>44</v>
      </c>
      <c r="D112" s="28" t="str">
        <f t="shared" si="3"/>
        <v>2068-69</v>
      </c>
      <c r="E112" s="84" t="str">
        <f>IF(LEFT(D112,4)*1&gt;LEFT('General inputs'!$I$16,4)+'General inputs'!$H$38-1,"",'ET inputs'!D85)</f>
        <v/>
      </c>
      <c r="F112" s="84" t="str">
        <f>IF(LEFT(D112,4)*1&gt;LEFT('General inputs'!$I$16,4)+'General inputs'!$H$38-1,"",E112/(1+'General inputs'!$H$30)^C112)</f>
        <v/>
      </c>
      <c r="G112" s="84" t="str">
        <f>IF(LEFT(D112,4)*1&gt;LEFT('General inputs'!$I$16,4)+'General inputs'!$H$38-1,"",E112/(1+'General inputs'!$H$32)^C112)</f>
        <v/>
      </c>
      <c r="H112" s="84" t="str">
        <f>IF(LEFT(D112,4)*1&lt;LEFT('General inputs'!$I$16,4)*1,"",IF(LEFT(D112,4)*1&gt;LEFT('General inputs'!$I$16,4)+'General inputs'!$H$38-1,"",E112/(1+'General inputs'!$H$34)^C112))</f>
        <v/>
      </c>
      <c r="J112" s="114"/>
      <c r="K112" s="114"/>
      <c r="L112" s="84" t="str">
        <f>IF(LEFT(D112,4)*1&gt;LEFT('General inputs'!$I$18,4)*1,"",SUMIF('Post-1996 commissioned assets'!$F$22:$F$222,$D112,'Post-1996 commissioned assets'!$P$22:$P$222))</f>
        <v/>
      </c>
      <c r="M112" s="84" t="str">
        <f>IF(L112="","",L112/(1+'General inputs'!$H$32)^C112)</f>
        <v/>
      </c>
      <c r="N112" s="84">
        <f>IF(LEFT(D112,4)*1&lt;LEFT('General inputs'!$I$18,4)*1+1,"",SUMIF('Uncommissioned assets'!$F$22:$F$218,$D112,'Uncommissioned assets'!$P$22:$P$218))</f>
        <v>0</v>
      </c>
      <c r="O112" s="84">
        <f>IF(N112="","",N112/(1+'General inputs'!$H$32)^C112)</f>
        <v>0</v>
      </c>
      <c r="Q112" s="39"/>
      <c r="R112" s="84" t="str">
        <f>IF(OR(LEFT(D112,4)*1&lt;LEFT('General inputs'!$I$16,4)*1,LEFT(D112,4)*1&gt;LEFT('General inputs'!$I$16,4)+'General inputs'!$H$38-1),"",Q112/(1+'General inputs'!$H$34)^C112)</f>
        <v/>
      </c>
      <c r="T112" s="39"/>
      <c r="U112" s="84" t="str">
        <f>IF(OR(LEFT(D112,4)*1&lt;LEFT('General inputs'!$I$16,4)*1,LEFT(D112,4)*1&gt;LEFT('General inputs'!$I$16,4)+'General inputs'!$H$38-1),"",T112/(1+'General inputs'!$H$34)^C112)</f>
        <v/>
      </c>
      <c r="V112" s="56"/>
    </row>
    <row r="113" spans="2:22" x14ac:dyDescent="0.25">
      <c r="B113" s="55"/>
      <c r="C113" s="28">
        <f>IF(D113='General inputs'!$I$16,0,IF(D113&lt;'General inputs'!$I$16,C114-1,C112+1))</f>
        <v>45</v>
      </c>
      <c r="D113" s="28" t="str">
        <f t="shared" si="3"/>
        <v>2069-70</v>
      </c>
      <c r="E113" s="84" t="str">
        <f>IF(LEFT(D113,4)*1&gt;LEFT('General inputs'!$I$16,4)+'General inputs'!$H$38-1,"",'ET inputs'!D86)</f>
        <v/>
      </c>
      <c r="F113" s="84" t="str">
        <f>IF(LEFT(D113,4)*1&gt;LEFT('General inputs'!$I$16,4)+'General inputs'!$H$38-1,"",E113/(1+'General inputs'!$H$30)^C113)</f>
        <v/>
      </c>
      <c r="G113" s="84" t="str">
        <f>IF(LEFT(D113,4)*1&gt;LEFT('General inputs'!$I$16,4)+'General inputs'!$H$38-1,"",E113/(1+'General inputs'!$H$32)^C113)</f>
        <v/>
      </c>
      <c r="H113" s="84" t="str">
        <f>IF(LEFT(D113,4)*1&lt;LEFT('General inputs'!$I$16,4)*1,"",IF(LEFT(D113,4)*1&gt;LEFT('General inputs'!$I$16,4)+'General inputs'!$H$38-1,"",E113/(1+'General inputs'!$H$34)^C113))</f>
        <v/>
      </c>
      <c r="J113" s="114"/>
      <c r="K113" s="114"/>
      <c r="L113" s="84" t="str">
        <f>IF(LEFT(D113,4)*1&gt;LEFT('General inputs'!$I$18,4)*1,"",SUMIF('Post-1996 commissioned assets'!$F$22:$F$222,$D113,'Post-1996 commissioned assets'!$P$22:$P$222))</f>
        <v/>
      </c>
      <c r="M113" s="84" t="str">
        <f>IF(L113="","",L113/(1+'General inputs'!$H$32)^C113)</f>
        <v/>
      </c>
      <c r="N113" s="84">
        <f>IF(LEFT(D113,4)*1&lt;LEFT('General inputs'!$I$18,4)*1+1,"",SUMIF('Uncommissioned assets'!$F$22:$F$218,$D113,'Uncommissioned assets'!$P$22:$P$218))</f>
        <v>0</v>
      </c>
      <c r="O113" s="84">
        <f>IF(N113="","",N113/(1+'General inputs'!$H$32)^C113)</f>
        <v>0</v>
      </c>
      <c r="Q113" s="39"/>
      <c r="R113" s="84" t="str">
        <f>IF(OR(LEFT(D113,4)*1&lt;LEFT('General inputs'!$I$16,4)*1,LEFT(D113,4)*1&gt;LEFT('General inputs'!$I$16,4)+'General inputs'!$H$38-1),"",Q113/(1+'General inputs'!$H$34)^C113)</f>
        <v/>
      </c>
      <c r="T113" s="39"/>
      <c r="U113" s="84" t="str">
        <f>IF(OR(LEFT(D113,4)*1&lt;LEFT('General inputs'!$I$16,4)*1,LEFT(D113,4)*1&gt;LEFT('General inputs'!$I$16,4)+'General inputs'!$H$38-1),"",T113/(1+'General inputs'!$H$34)^C113)</f>
        <v/>
      </c>
      <c r="V113" s="56"/>
    </row>
    <row r="114" spans="2:22" x14ac:dyDescent="0.25">
      <c r="B114" s="55"/>
      <c r="C114" s="28">
        <f>IF(D114='General inputs'!$I$16,0,IF(D114&lt;'General inputs'!$I$16,C115-1,C113+1))</f>
        <v>46</v>
      </c>
      <c r="D114" s="28" t="str">
        <f t="shared" si="3"/>
        <v>2070-71</v>
      </c>
      <c r="E114" s="84" t="str">
        <f>IF(LEFT(D114,4)*1&gt;LEFT('General inputs'!$I$16,4)+'General inputs'!$H$38-1,"",'ET inputs'!D87)</f>
        <v/>
      </c>
      <c r="F114" s="84" t="str">
        <f>IF(LEFT(D114,4)*1&gt;LEFT('General inputs'!$I$16,4)+'General inputs'!$H$38-1,"",E114/(1+'General inputs'!$H$30)^C114)</f>
        <v/>
      </c>
      <c r="G114" s="84" t="str">
        <f>IF(LEFT(D114,4)*1&gt;LEFT('General inputs'!$I$16,4)+'General inputs'!$H$38-1,"",E114/(1+'General inputs'!$H$32)^C114)</f>
        <v/>
      </c>
      <c r="H114" s="84" t="str">
        <f>IF(LEFT(D114,4)*1&lt;LEFT('General inputs'!$I$16,4)*1,"",IF(LEFT(D114,4)*1&gt;LEFT('General inputs'!$I$16,4)+'General inputs'!$H$38-1,"",E114/(1+'General inputs'!$H$34)^C114))</f>
        <v/>
      </c>
      <c r="J114" s="114"/>
      <c r="K114" s="114"/>
      <c r="L114" s="84" t="str">
        <f>IF(LEFT(D114,4)*1&gt;LEFT('General inputs'!$I$18,4)*1,"",SUMIF('Post-1996 commissioned assets'!$F$22:$F$222,$D114,'Post-1996 commissioned assets'!$P$22:$P$222))</f>
        <v/>
      </c>
      <c r="M114" s="84" t="str">
        <f>IF(L114="","",L114/(1+'General inputs'!$H$32)^C114)</f>
        <v/>
      </c>
      <c r="N114" s="84">
        <f>IF(LEFT(D114,4)*1&lt;LEFT('General inputs'!$I$18,4)*1+1,"",SUMIF('Uncommissioned assets'!$F$22:$F$218,$D114,'Uncommissioned assets'!$P$22:$P$218))</f>
        <v>0</v>
      </c>
      <c r="O114" s="84">
        <f>IF(N114="","",N114/(1+'General inputs'!$H$32)^C114)</f>
        <v>0</v>
      </c>
      <c r="Q114" s="39"/>
      <c r="R114" s="84" t="str">
        <f>IF(OR(LEFT(D114,4)*1&lt;LEFT('General inputs'!$I$16,4)*1,LEFT(D114,4)*1&gt;LEFT('General inputs'!$I$16,4)+'General inputs'!$H$38-1),"",Q114/(1+'General inputs'!$H$34)^C114)</f>
        <v/>
      </c>
      <c r="T114" s="39"/>
      <c r="U114" s="84" t="str">
        <f>IF(OR(LEFT(D114,4)*1&lt;LEFT('General inputs'!$I$16,4)*1,LEFT(D114,4)*1&gt;LEFT('General inputs'!$I$16,4)+'General inputs'!$H$38-1),"",T114/(1+'General inputs'!$H$34)^C114)</f>
        <v/>
      </c>
      <c r="V114" s="56"/>
    </row>
    <row r="115" spans="2:22" x14ac:dyDescent="0.25">
      <c r="B115" s="55"/>
      <c r="C115" s="28">
        <f>IF(D115='General inputs'!$I$16,0,IF(D115&lt;'General inputs'!$I$16,C116-1,C114+1))</f>
        <v>47</v>
      </c>
      <c r="D115" s="28" t="str">
        <f t="shared" si="3"/>
        <v>2071-72</v>
      </c>
      <c r="E115" s="84" t="str">
        <f>IF(LEFT(D115,4)*1&gt;LEFT('General inputs'!$I$16,4)+'General inputs'!$H$38-1,"",'ET inputs'!D88)</f>
        <v/>
      </c>
      <c r="F115" s="84" t="str">
        <f>IF(LEFT(D115,4)*1&gt;LEFT('General inputs'!$I$16,4)+'General inputs'!$H$38-1,"",E115/(1+'General inputs'!$H$30)^C115)</f>
        <v/>
      </c>
      <c r="G115" s="84" t="str">
        <f>IF(LEFT(D115,4)*1&gt;LEFT('General inputs'!$I$16,4)+'General inputs'!$H$38-1,"",E115/(1+'General inputs'!$H$32)^C115)</f>
        <v/>
      </c>
      <c r="H115" s="84" t="str">
        <f>IF(LEFT(D115,4)*1&lt;LEFT('General inputs'!$I$16,4)*1,"",IF(LEFT(D115,4)*1&gt;LEFT('General inputs'!$I$16,4)+'General inputs'!$H$38-1,"",E115/(1+'General inputs'!$H$34)^C115))</f>
        <v/>
      </c>
      <c r="J115" s="114"/>
      <c r="K115" s="114"/>
      <c r="L115" s="84" t="str">
        <f>IF(LEFT(D115,4)*1&gt;LEFT('General inputs'!$I$18,4)*1,"",SUMIF('Post-1996 commissioned assets'!$F$22:$F$222,$D115,'Post-1996 commissioned assets'!$P$22:$P$222))</f>
        <v/>
      </c>
      <c r="M115" s="84" t="str">
        <f>IF(L115="","",L115/(1+'General inputs'!$H$32)^C115)</f>
        <v/>
      </c>
      <c r="N115" s="84">
        <f>IF(LEFT(D115,4)*1&lt;LEFT('General inputs'!$I$18,4)*1+1,"",SUMIF('Uncommissioned assets'!$F$22:$F$218,$D115,'Uncommissioned assets'!$P$22:$P$218))</f>
        <v>0</v>
      </c>
      <c r="O115" s="84">
        <f>IF(N115="","",N115/(1+'General inputs'!$H$32)^C115)</f>
        <v>0</v>
      </c>
      <c r="Q115" s="39"/>
      <c r="R115" s="84" t="str">
        <f>IF(OR(LEFT(D115,4)*1&lt;LEFT('General inputs'!$I$16,4)*1,LEFT(D115,4)*1&gt;LEFT('General inputs'!$I$16,4)+'General inputs'!$H$38-1),"",Q115/(1+'General inputs'!$H$34)^C115)</f>
        <v/>
      </c>
      <c r="T115" s="39"/>
      <c r="U115" s="84" t="str">
        <f>IF(OR(LEFT(D115,4)*1&lt;LEFT('General inputs'!$I$16,4)*1,LEFT(D115,4)*1&gt;LEFT('General inputs'!$I$16,4)+'General inputs'!$H$38-1),"",T115/(1+'General inputs'!$H$34)^C115)</f>
        <v/>
      </c>
      <c r="V115" s="56"/>
    </row>
    <row r="116" spans="2:22" x14ac:dyDescent="0.25">
      <c r="B116" s="55"/>
      <c r="C116" s="28">
        <f>IF(D116='General inputs'!$I$16,0,IF(D116&lt;'General inputs'!$I$16,C117-1,C115+1))</f>
        <v>48</v>
      </c>
      <c r="D116" s="28" t="str">
        <f t="shared" si="3"/>
        <v>2072-73</v>
      </c>
      <c r="E116" s="84" t="str">
        <f>IF(LEFT(D116,4)*1&gt;LEFT('General inputs'!$I$16,4)+'General inputs'!$H$38-1,"",'ET inputs'!D89)</f>
        <v/>
      </c>
      <c r="F116" s="84" t="str">
        <f>IF(LEFT(D116,4)*1&gt;LEFT('General inputs'!$I$16,4)+'General inputs'!$H$38-1,"",E116/(1+'General inputs'!$H$30)^C116)</f>
        <v/>
      </c>
      <c r="G116" s="84" t="str">
        <f>IF(LEFT(D116,4)*1&gt;LEFT('General inputs'!$I$16,4)+'General inputs'!$H$38-1,"",E116/(1+'General inputs'!$H$32)^C116)</f>
        <v/>
      </c>
      <c r="H116" s="84" t="str">
        <f>IF(LEFT(D116,4)*1&lt;LEFT('General inputs'!$I$16,4)*1,"",IF(LEFT(D116,4)*1&gt;LEFT('General inputs'!$I$16,4)+'General inputs'!$H$38-1,"",E116/(1+'General inputs'!$H$34)^C116))</f>
        <v/>
      </c>
      <c r="J116" s="114"/>
      <c r="K116" s="114"/>
      <c r="L116" s="84" t="str">
        <f>IF(LEFT(D116,4)*1&gt;LEFT('General inputs'!$I$18,4)*1,"",SUMIF('Post-1996 commissioned assets'!$F$22:$F$222,$D116,'Post-1996 commissioned assets'!$P$22:$P$222))</f>
        <v/>
      </c>
      <c r="M116" s="84" t="str">
        <f>IF(L116="","",L116/(1+'General inputs'!$H$32)^C116)</f>
        <v/>
      </c>
      <c r="N116" s="84">
        <f>IF(LEFT(D116,4)*1&lt;LEFT('General inputs'!$I$18,4)*1+1,"",SUMIF('Uncommissioned assets'!$F$22:$F$218,$D116,'Uncommissioned assets'!$P$22:$P$218))</f>
        <v>0</v>
      </c>
      <c r="O116" s="84">
        <f>IF(N116="","",N116/(1+'General inputs'!$H$32)^C116)</f>
        <v>0</v>
      </c>
      <c r="Q116" s="39"/>
      <c r="R116" s="84" t="str">
        <f>IF(OR(LEFT(D116,4)*1&lt;LEFT('General inputs'!$I$16,4)*1,LEFT(D116,4)*1&gt;LEFT('General inputs'!$I$16,4)+'General inputs'!$H$38-1),"",Q116/(1+'General inputs'!$H$34)^C116)</f>
        <v/>
      </c>
      <c r="T116" s="39"/>
      <c r="U116" s="84" t="str">
        <f>IF(OR(LEFT(D116,4)*1&lt;LEFT('General inputs'!$I$16,4)*1,LEFT(D116,4)*1&gt;LEFT('General inputs'!$I$16,4)+'General inputs'!$H$38-1),"",T116/(1+'General inputs'!$H$34)^C116)</f>
        <v/>
      </c>
      <c r="V116" s="56"/>
    </row>
    <row r="117" spans="2:22" x14ac:dyDescent="0.25">
      <c r="B117" s="55"/>
      <c r="C117" s="28">
        <f>IF(D117='General inputs'!$I$16,0,IF(D117&lt;'General inputs'!$I$16,C118-1,C116+1))</f>
        <v>49</v>
      </c>
      <c r="D117" s="28" t="str">
        <f t="shared" si="3"/>
        <v>2073-74</v>
      </c>
      <c r="E117" s="84" t="str">
        <f>IF(LEFT(D117,4)*1&gt;LEFT('General inputs'!$I$16,4)+'General inputs'!$H$38-1,"",'ET inputs'!D90)</f>
        <v/>
      </c>
      <c r="F117" s="84" t="str">
        <f>IF(LEFT(D117,4)*1&gt;LEFT('General inputs'!$I$16,4)+'General inputs'!$H$38-1,"",E117/(1+'General inputs'!$H$30)^C117)</f>
        <v/>
      </c>
      <c r="G117" s="84" t="str">
        <f>IF(LEFT(D117,4)*1&gt;LEFT('General inputs'!$I$16,4)+'General inputs'!$H$38-1,"",E117/(1+'General inputs'!$H$32)^C117)</f>
        <v/>
      </c>
      <c r="H117" s="84" t="str">
        <f>IF(LEFT(D117,4)*1&lt;LEFT('General inputs'!$I$16,4)*1,"",IF(LEFT(D117,4)*1&gt;LEFT('General inputs'!$I$16,4)+'General inputs'!$H$38-1,"",E117/(1+'General inputs'!$H$34)^C117))</f>
        <v/>
      </c>
      <c r="J117" s="114"/>
      <c r="K117" s="114"/>
      <c r="L117" s="84" t="str">
        <f>IF(LEFT(D117,4)*1&gt;LEFT('General inputs'!$I$18,4)*1,"",SUMIF('Post-1996 commissioned assets'!$F$22:$F$222,$D117,'Post-1996 commissioned assets'!$P$22:$P$222))</f>
        <v/>
      </c>
      <c r="M117" s="84" t="str">
        <f>IF(L117="","",L117/(1+'General inputs'!$H$32)^C117)</f>
        <v/>
      </c>
      <c r="N117" s="84">
        <f>IF(LEFT(D117,4)*1&lt;LEFT('General inputs'!$I$18,4)*1+1,"",SUMIF('Uncommissioned assets'!$F$22:$F$218,$D117,'Uncommissioned assets'!$P$22:$P$218))</f>
        <v>0</v>
      </c>
      <c r="O117" s="84">
        <f>IF(N117="","",N117/(1+'General inputs'!$H$32)^C117)</f>
        <v>0</v>
      </c>
      <c r="Q117" s="39"/>
      <c r="R117" s="84" t="str">
        <f>IF(OR(LEFT(D117,4)*1&lt;LEFT('General inputs'!$I$16,4)*1,LEFT(D117,4)*1&gt;LEFT('General inputs'!$I$16,4)+'General inputs'!$H$38-1),"",Q117/(1+'General inputs'!$H$34)^C117)</f>
        <v/>
      </c>
      <c r="T117" s="39"/>
      <c r="U117" s="84" t="str">
        <f>IF(OR(LEFT(D117,4)*1&lt;LEFT('General inputs'!$I$16,4)*1,LEFT(D117,4)*1&gt;LEFT('General inputs'!$I$16,4)+'General inputs'!$H$38-1),"",T117/(1+'General inputs'!$H$34)^C117)</f>
        <v/>
      </c>
      <c r="V117" s="56"/>
    </row>
    <row r="118" spans="2:22" x14ac:dyDescent="0.25">
      <c r="B118" s="55"/>
      <c r="C118" s="28">
        <f>IF(D118='General inputs'!$I$16,0,IF(D118&lt;'General inputs'!$I$16,C119-1,C117+1))</f>
        <v>50</v>
      </c>
      <c r="D118" s="28" t="str">
        <f t="shared" si="3"/>
        <v>2074-75</v>
      </c>
      <c r="E118" s="84" t="str">
        <f>IF(LEFT(D118,4)*1&gt;LEFT('General inputs'!$I$16,4)+'General inputs'!$H$38-1,"",'ET inputs'!D91)</f>
        <v/>
      </c>
      <c r="F118" s="84" t="str">
        <f>IF(LEFT(D118,4)*1&gt;LEFT('General inputs'!$I$16,4)+'General inputs'!$H$38-1,"",E118/(1+'General inputs'!$H$30)^C118)</f>
        <v/>
      </c>
      <c r="G118" s="84" t="str">
        <f>IF(LEFT(D118,4)*1&gt;LEFT('General inputs'!$I$16,4)+'General inputs'!$H$38-1,"",E118/(1+'General inputs'!$H$32)^C118)</f>
        <v/>
      </c>
      <c r="H118" s="84" t="str">
        <f>IF(LEFT(D118,4)*1&lt;LEFT('General inputs'!$I$16,4)*1,"",IF(LEFT(D118,4)*1&gt;LEFT('General inputs'!$I$16,4)+'General inputs'!$H$38-1,"",E118/(1+'General inputs'!$H$34)^C118))</f>
        <v/>
      </c>
      <c r="J118" s="114"/>
      <c r="K118" s="114"/>
      <c r="L118" s="84" t="str">
        <f>IF(LEFT(D118,4)*1&gt;LEFT('General inputs'!$I$18,4)*1,"",SUMIF('Post-1996 commissioned assets'!$F$22:$F$222,$D118,'Post-1996 commissioned assets'!$P$22:$P$222))</f>
        <v/>
      </c>
      <c r="M118" s="84" t="str">
        <f>IF(L118="","",L118/(1+'General inputs'!$H$32)^C118)</f>
        <v/>
      </c>
      <c r="N118" s="84">
        <f>IF(LEFT(D118,4)*1&lt;LEFT('General inputs'!$I$18,4)*1+1,"",SUMIF('Uncommissioned assets'!$F$22:$F$218,$D118,'Uncommissioned assets'!$P$22:$P$218))</f>
        <v>0</v>
      </c>
      <c r="O118" s="84">
        <f>IF(N118="","",N118/(1+'General inputs'!$H$32)^C118)</f>
        <v>0</v>
      </c>
      <c r="Q118" s="39"/>
      <c r="R118" s="84" t="str">
        <f>IF(OR(LEFT(D118,4)*1&lt;LEFT('General inputs'!$I$16,4)*1,LEFT(D118,4)*1&gt;LEFT('General inputs'!$I$16,4)+'General inputs'!$H$38-1),"",Q118/(1+'General inputs'!$H$34)^C118)</f>
        <v/>
      </c>
      <c r="T118" s="39"/>
      <c r="U118" s="84" t="str">
        <f>IF(OR(LEFT(D118,4)*1&lt;LEFT('General inputs'!$I$16,4)*1,LEFT(D118,4)*1&gt;LEFT('General inputs'!$I$16,4)+'General inputs'!$H$38-1),"",T118/(1+'General inputs'!$H$34)^C118)</f>
        <v/>
      </c>
      <c r="V118" s="56"/>
    </row>
    <row r="119" spans="2:22" x14ac:dyDescent="0.25">
      <c r="B119" s="55"/>
      <c r="C119" s="28">
        <f>IF(D119='General inputs'!$I$16,0,IF(D119&lt;'General inputs'!$I$16,C120-1,C118+1))</f>
        <v>51</v>
      </c>
      <c r="D119" s="28" t="str">
        <f t="shared" si="3"/>
        <v>2075-76</v>
      </c>
      <c r="E119" s="84" t="str">
        <f>IF(LEFT(D119,4)*1&gt;LEFT('General inputs'!$I$16,4)+'General inputs'!$H$38-1,"",'ET inputs'!D92)</f>
        <v/>
      </c>
      <c r="F119" s="84" t="str">
        <f>IF(LEFT(D119,4)*1&gt;LEFT('General inputs'!$I$16,4)+'General inputs'!$H$38-1,"",E119/(1+'General inputs'!$H$30)^C119)</f>
        <v/>
      </c>
      <c r="G119" s="84" t="str">
        <f>IF(LEFT(D119,4)*1&gt;LEFT('General inputs'!$I$16,4)+'General inputs'!$H$38-1,"",E119/(1+'General inputs'!$H$32)^C119)</f>
        <v/>
      </c>
      <c r="H119" s="84" t="str">
        <f>IF(LEFT(D119,4)*1&lt;LEFT('General inputs'!$I$16,4)*1,"",IF(LEFT(D119,4)*1&gt;LEFT('General inputs'!$I$16,4)+'General inputs'!$H$38-1,"",E119/(1+'General inputs'!$H$34)^C119))</f>
        <v/>
      </c>
      <c r="J119" s="114"/>
      <c r="K119" s="114"/>
      <c r="L119" s="84" t="str">
        <f>IF(LEFT(D119,4)*1&gt;LEFT('General inputs'!$I$18,4)*1,"",SUMIF('Post-1996 commissioned assets'!$F$22:$F$222,$D119,'Post-1996 commissioned assets'!$P$22:$P$222))</f>
        <v/>
      </c>
      <c r="M119" s="84" t="str">
        <f>IF(L119="","",L119/(1+'General inputs'!$H$32)^C119)</f>
        <v/>
      </c>
      <c r="N119" s="84">
        <f>IF(LEFT(D119,4)*1&lt;LEFT('General inputs'!$I$18,4)*1+1,"",SUMIF('Uncommissioned assets'!$F$22:$F$218,$D119,'Uncommissioned assets'!$P$22:$P$218))</f>
        <v>0</v>
      </c>
      <c r="O119" s="84">
        <f>IF(N119="","",N119/(1+'General inputs'!$H$32)^C119)</f>
        <v>0</v>
      </c>
      <c r="Q119" s="39"/>
      <c r="R119" s="84" t="str">
        <f>IF(OR(LEFT(D119,4)*1&lt;LEFT('General inputs'!$I$16,4)*1,LEFT(D119,4)*1&gt;LEFT('General inputs'!$I$16,4)+'General inputs'!$H$38-1),"",Q119/(1+'General inputs'!$H$34)^C119)</f>
        <v/>
      </c>
      <c r="T119" s="39"/>
      <c r="U119" s="84" t="str">
        <f>IF(OR(LEFT(D119,4)*1&lt;LEFT('General inputs'!$I$16,4)*1,LEFT(D119,4)*1&gt;LEFT('General inputs'!$I$16,4)+'General inputs'!$H$38-1),"",T119/(1+'General inputs'!$H$34)^C119)</f>
        <v/>
      </c>
      <c r="V119" s="56"/>
    </row>
    <row r="120" spans="2:22" x14ac:dyDescent="0.25">
      <c r="B120" s="55"/>
      <c r="C120" s="28">
        <f>IF(D120='General inputs'!$I$16,0,IF(D120&lt;'General inputs'!$I$16,C121-1,C119+1))</f>
        <v>52</v>
      </c>
      <c r="D120" s="28" t="str">
        <f t="shared" si="3"/>
        <v>2076-77</v>
      </c>
      <c r="E120" s="84" t="str">
        <f>IF(LEFT(D120,4)*1&gt;LEFT('General inputs'!$I$16,4)+'General inputs'!$H$38-1,"",'ET inputs'!D93)</f>
        <v/>
      </c>
      <c r="F120" s="84" t="str">
        <f>IF(LEFT(D120,4)*1&gt;LEFT('General inputs'!$I$16,4)+'General inputs'!$H$38-1,"",E120/(1+'General inputs'!$H$30)^C120)</f>
        <v/>
      </c>
      <c r="G120" s="84" t="str">
        <f>IF(LEFT(D120,4)*1&gt;LEFT('General inputs'!$I$16,4)+'General inputs'!$H$38-1,"",E120/(1+'General inputs'!$H$32)^C120)</f>
        <v/>
      </c>
      <c r="H120" s="84" t="str">
        <f>IF(LEFT(D120,4)*1&lt;LEFT('General inputs'!$I$16,4)*1,"",IF(LEFT(D120,4)*1&gt;LEFT('General inputs'!$I$16,4)+'General inputs'!$H$38-1,"",E120/(1+'General inputs'!$H$34)^C120))</f>
        <v/>
      </c>
      <c r="J120" s="114"/>
      <c r="K120" s="114"/>
      <c r="L120" s="84" t="str">
        <f>IF(LEFT(D120,4)*1&gt;LEFT('General inputs'!$I$18,4)*1,"",SUMIF('Post-1996 commissioned assets'!$F$22:$F$222,$D120,'Post-1996 commissioned assets'!$P$22:$P$222))</f>
        <v/>
      </c>
      <c r="M120" s="84" t="str">
        <f>IF(L120="","",L120/(1+'General inputs'!$H$32)^C120)</f>
        <v/>
      </c>
      <c r="N120" s="84">
        <f>IF(LEFT(D120,4)*1&lt;LEFT('General inputs'!$I$18,4)*1+1,"",SUMIF('Uncommissioned assets'!$F$22:$F$218,$D120,'Uncommissioned assets'!$P$22:$P$218))</f>
        <v>0</v>
      </c>
      <c r="O120" s="84">
        <f>IF(N120="","",N120/(1+'General inputs'!$H$32)^C120)</f>
        <v>0</v>
      </c>
      <c r="Q120" s="39"/>
      <c r="R120" s="84" t="str">
        <f>IF(OR(LEFT(D120,4)*1&lt;LEFT('General inputs'!$I$16,4)*1,LEFT(D120,4)*1&gt;LEFT('General inputs'!$I$16,4)+'General inputs'!$H$38-1),"",Q120/(1+'General inputs'!$H$34)^C120)</f>
        <v/>
      </c>
      <c r="T120" s="39"/>
      <c r="U120" s="84" t="str">
        <f>IF(OR(LEFT(D120,4)*1&lt;LEFT('General inputs'!$I$16,4)*1,LEFT(D120,4)*1&gt;LEFT('General inputs'!$I$16,4)+'General inputs'!$H$38-1),"",T120/(1+'General inputs'!$H$34)^C120)</f>
        <v/>
      </c>
      <c r="V120" s="56"/>
    </row>
    <row r="121" spans="2:22" x14ac:dyDescent="0.25">
      <c r="B121" s="55"/>
      <c r="C121" s="28">
        <f>IF(D121='General inputs'!$I$16,0,IF(D121&lt;'General inputs'!$I$16,C122-1,C120+1))</f>
        <v>53</v>
      </c>
      <c r="D121" s="28" t="str">
        <f t="shared" si="3"/>
        <v>2077-78</v>
      </c>
      <c r="E121" s="84" t="str">
        <f>IF(LEFT(D121,4)*1&gt;LEFT('General inputs'!$I$16,4)+'General inputs'!$H$38-1,"",'ET inputs'!D94)</f>
        <v/>
      </c>
      <c r="F121" s="84" t="str">
        <f>IF(LEFT(D121,4)*1&gt;LEFT('General inputs'!$I$16,4)+'General inputs'!$H$38-1,"",E121/(1+'General inputs'!$H$30)^C121)</f>
        <v/>
      </c>
      <c r="G121" s="84" t="str">
        <f>IF(LEFT(D121,4)*1&gt;LEFT('General inputs'!$I$16,4)+'General inputs'!$H$38-1,"",E121/(1+'General inputs'!$H$32)^C121)</f>
        <v/>
      </c>
      <c r="H121" s="84" t="str">
        <f>IF(LEFT(D121,4)*1&lt;LEFT('General inputs'!$I$16,4)*1,"",IF(LEFT(D121,4)*1&gt;LEFT('General inputs'!$I$16,4)+'General inputs'!$H$38-1,"",E121/(1+'General inputs'!$H$34)^C121))</f>
        <v/>
      </c>
      <c r="J121" s="114"/>
      <c r="K121" s="114"/>
      <c r="L121" s="84" t="str">
        <f>IF(LEFT(D121,4)*1&gt;LEFT('General inputs'!$I$18,4)*1,"",SUMIF('Post-1996 commissioned assets'!$F$22:$F$222,$D121,'Post-1996 commissioned assets'!$P$22:$P$222))</f>
        <v/>
      </c>
      <c r="M121" s="84" t="str">
        <f>IF(L121="","",L121/(1+'General inputs'!$H$32)^C121)</f>
        <v/>
      </c>
      <c r="N121" s="84">
        <f>IF(LEFT(D121,4)*1&lt;LEFT('General inputs'!$I$18,4)*1+1,"",SUMIF('Uncommissioned assets'!$F$22:$F$218,$D121,'Uncommissioned assets'!$P$22:$P$218))</f>
        <v>0</v>
      </c>
      <c r="O121" s="84">
        <f>IF(N121="","",N121/(1+'General inputs'!$H$32)^C121)</f>
        <v>0</v>
      </c>
      <c r="Q121" s="39"/>
      <c r="R121" s="84" t="str">
        <f>IF(OR(LEFT(D121,4)*1&lt;LEFT('General inputs'!$I$16,4)*1,LEFT(D121,4)*1&gt;LEFT('General inputs'!$I$16,4)+'General inputs'!$H$38-1),"",Q121/(1+'General inputs'!$H$34)^C121)</f>
        <v/>
      </c>
      <c r="T121" s="39"/>
      <c r="U121" s="84" t="str">
        <f>IF(OR(LEFT(D121,4)*1&lt;LEFT('General inputs'!$I$16,4)*1,LEFT(D121,4)*1&gt;LEFT('General inputs'!$I$16,4)+'General inputs'!$H$38-1),"",T121/(1+'General inputs'!$H$34)^C121)</f>
        <v/>
      </c>
      <c r="V121" s="56"/>
    </row>
    <row r="122" spans="2:22" x14ac:dyDescent="0.25">
      <c r="B122" s="55"/>
      <c r="C122" s="28">
        <f>IF(D122='General inputs'!$I$16,0,IF(D122&lt;'General inputs'!$I$16,C123-1,C121+1))</f>
        <v>54</v>
      </c>
      <c r="D122" s="28" t="str">
        <f t="shared" si="3"/>
        <v>2078-79</v>
      </c>
      <c r="E122" s="84" t="str">
        <f>IF(LEFT(D122,4)*1&gt;LEFT('General inputs'!$I$16,4)+'General inputs'!$H$38-1,"",'ET inputs'!D95)</f>
        <v/>
      </c>
      <c r="F122" s="84" t="str">
        <f>IF(LEFT(D122,4)*1&gt;LEFT('General inputs'!$I$16,4)+'General inputs'!$H$38-1,"",E122/(1+'General inputs'!$H$30)^C122)</f>
        <v/>
      </c>
      <c r="G122" s="84" t="str">
        <f>IF(LEFT(D122,4)*1&gt;LEFT('General inputs'!$I$16,4)+'General inputs'!$H$38-1,"",E122/(1+'General inputs'!$H$32)^C122)</f>
        <v/>
      </c>
      <c r="H122" s="84" t="str">
        <f>IF(LEFT(D122,4)*1&lt;LEFT('General inputs'!$I$16,4)*1,"",IF(LEFT(D122,4)*1&gt;LEFT('General inputs'!$I$16,4)+'General inputs'!$H$38-1,"",E122/(1+'General inputs'!$H$34)^C122))</f>
        <v/>
      </c>
      <c r="J122" s="114"/>
      <c r="K122" s="114"/>
      <c r="L122" s="84" t="str">
        <f>IF(LEFT(D122,4)*1&gt;LEFT('General inputs'!$I$18,4)*1,"",SUMIF('Post-1996 commissioned assets'!$F$22:$F$222,$D122,'Post-1996 commissioned assets'!$P$22:$P$222))</f>
        <v/>
      </c>
      <c r="M122" s="84" t="str">
        <f>IF(L122="","",L122/(1+'General inputs'!$H$32)^C122)</f>
        <v/>
      </c>
      <c r="N122" s="84">
        <f>IF(LEFT(D122,4)*1&lt;LEFT('General inputs'!$I$18,4)*1+1,"",SUMIF('Uncommissioned assets'!$F$22:$F$218,$D122,'Uncommissioned assets'!$P$22:$P$218))</f>
        <v>0</v>
      </c>
      <c r="O122" s="84">
        <f>IF(N122="","",N122/(1+'General inputs'!$H$32)^C122)</f>
        <v>0</v>
      </c>
      <c r="Q122" s="39"/>
      <c r="R122" s="84" t="str">
        <f>IF(OR(LEFT(D122,4)*1&lt;LEFT('General inputs'!$I$16,4)*1,LEFT(D122,4)*1&gt;LEFT('General inputs'!$I$16,4)+'General inputs'!$H$38-1),"",Q122/(1+'General inputs'!$H$34)^C122)</f>
        <v/>
      </c>
      <c r="T122" s="39"/>
      <c r="U122" s="84" t="str">
        <f>IF(OR(LEFT(D122,4)*1&lt;LEFT('General inputs'!$I$16,4)*1,LEFT(D122,4)*1&gt;LEFT('General inputs'!$I$16,4)+'General inputs'!$H$38-1),"",T122/(1+'General inputs'!$H$34)^C122)</f>
        <v/>
      </c>
      <c r="V122" s="56"/>
    </row>
    <row r="123" spans="2:22" x14ac:dyDescent="0.25">
      <c r="B123" s="55"/>
      <c r="C123" s="28">
        <f>IF(D123='General inputs'!$I$16,0,IF(D123&lt;'General inputs'!$I$16,C124-1,C122+1))</f>
        <v>55</v>
      </c>
      <c r="D123" s="28" t="str">
        <f t="shared" ref="D123:D129" si="4">LEFT(D122,4)+1&amp;"-"&amp;RIGHT(D122,2)+1</f>
        <v>2079-80</v>
      </c>
      <c r="E123" s="84" t="str">
        <f>IF(LEFT(D123,4)*1&gt;LEFT('General inputs'!$I$16,4)+'General inputs'!$H$38-1,"",'ET inputs'!D96)</f>
        <v/>
      </c>
      <c r="F123" s="84" t="str">
        <f>IF(LEFT(D123,4)*1&gt;LEFT('General inputs'!$I$16,4)+'General inputs'!$H$38-1,"",E123/(1+'General inputs'!$H$30)^C123)</f>
        <v/>
      </c>
      <c r="G123" s="84" t="str">
        <f>IF(LEFT(D123,4)*1&gt;LEFT('General inputs'!$I$16,4)+'General inputs'!$H$38-1,"",E123/(1+'General inputs'!$H$32)^C123)</f>
        <v/>
      </c>
      <c r="H123" s="84" t="str">
        <f>IF(LEFT(D123,4)*1&lt;LEFT('General inputs'!$I$16,4)*1,"",IF(LEFT(D123,4)*1&gt;LEFT('General inputs'!$I$16,4)+'General inputs'!$H$38-1,"",E123/(1+'General inputs'!$H$34)^C123))</f>
        <v/>
      </c>
      <c r="J123" s="114"/>
      <c r="K123" s="114"/>
      <c r="L123" s="84" t="str">
        <f>IF(LEFT(D123,4)*1&gt;LEFT('General inputs'!$I$18,4)*1,"",SUMIF('Post-1996 commissioned assets'!$F$22:$F$222,$D123,'Post-1996 commissioned assets'!$P$22:$P$222))</f>
        <v/>
      </c>
      <c r="M123" s="84" t="str">
        <f>IF(L123="","",L123/(1+'General inputs'!$H$32)^C123)</f>
        <v/>
      </c>
      <c r="N123" s="84">
        <f>IF(LEFT(D123,4)*1&lt;LEFT('General inputs'!$I$18,4)*1+1,"",SUMIF('Uncommissioned assets'!$F$22:$F$218,$D123,'Uncommissioned assets'!$P$22:$P$218))</f>
        <v>0</v>
      </c>
      <c r="O123" s="84">
        <f>IF(N123="","",N123/(1+'General inputs'!$H$32)^C123)</f>
        <v>0</v>
      </c>
      <c r="Q123" s="39"/>
      <c r="R123" s="84" t="str">
        <f>IF(OR(LEFT(D123,4)*1&lt;LEFT('General inputs'!$I$16,4)*1,LEFT(D123,4)*1&gt;LEFT('General inputs'!$I$16,4)+'General inputs'!$H$38-1),"",Q123/(1+'General inputs'!$H$34)^C123)</f>
        <v/>
      </c>
      <c r="T123" s="39"/>
      <c r="U123" s="84" t="str">
        <f>IF(OR(LEFT(D123,4)*1&lt;LEFT('General inputs'!$I$16,4)*1,LEFT(D123,4)*1&gt;LEFT('General inputs'!$I$16,4)+'General inputs'!$H$38-1),"",T123/(1+'General inputs'!$H$34)^C123)</f>
        <v/>
      </c>
      <c r="V123" s="56"/>
    </row>
    <row r="124" spans="2:22" x14ac:dyDescent="0.25">
      <c r="B124" s="55"/>
      <c r="C124" s="28">
        <f>IF(D124='General inputs'!$I$16,0,IF(D124&lt;'General inputs'!$I$16,C125-1,C123+1))</f>
        <v>56</v>
      </c>
      <c r="D124" s="28" t="str">
        <f t="shared" si="4"/>
        <v>2080-81</v>
      </c>
      <c r="E124" s="84" t="str">
        <f>IF(LEFT(D124,4)*1&gt;LEFT('General inputs'!$I$16,4)+'General inputs'!$H$38-1,"",'ET inputs'!D97)</f>
        <v/>
      </c>
      <c r="F124" s="84" t="str">
        <f>IF(LEFT(D124,4)*1&gt;LEFT('General inputs'!$I$16,4)+'General inputs'!$H$38-1,"",E124/(1+'General inputs'!$H$30)^C124)</f>
        <v/>
      </c>
      <c r="G124" s="84" t="str">
        <f>IF(LEFT(D124,4)*1&gt;LEFT('General inputs'!$I$16,4)+'General inputs'!$H$38-1,"",E124/(1+'General inputs'!$H$32)^C124)</f>
        <v/>
      </c>
      <c r="H124" s="84" t="str">
        <f>IF(LEFT(D124,4)*1&lt;LEFT('General inputs'!$I$16,4)*1,"",IF(LEFT(D124,4)*1&gt;LEFT('General inputs'!$I$16,4)+'General inputs'!$H$38-1,"",E124/(1+'General inputs'!$H$34)^C124))</f>
        <v/>
      </c>
      <c r="J124" s="114"/>
      <c r="K124" s="114"/>
      <c r="L124" s="84" t="str">
        <f>IF(LEFT(D124,4)*1&gt;LEFT('General inputs'!$I$18,4)*1,"",SUMIF('Post-1996 commissioned assets'!$F$22:$F$222,$D124,'Post-1996 commissioned assets'!$P$22:$P$222))</f>
        <v/>
      </c>
      <c r="M124" s="84" t="str">
        <f>IF(L124="","",L124/(1+'General inputs'!$H$32)^C124)</f>
        <v/>
      </c>
      <c r="N124" s="84">
        <f>IF(LEFT(D124,4)*1&lt;LEFT('General inputs'!$I$18,4)*1+1,"",SUMIF('Uncommissioned assets'!$F$22:$F$218,$D124,'Uncommissioned assets'!$P$22:$P$218))</f>
        <v>0</v>
      </c>
      <c r="O124" s="84">
        <f>IF(N124="","",N124/(1+'General inputs'!$H$32)^C124)</f>
        <v>0</v>
      </c>
      <c r="Q124" s="39"/>
      <c r="R124" s="84" t="str">
        <f>IF(OR(LEFT(D124,4)*1&lt;LEFT('General inputs'!$I$16,4)*1,LEFT(D124,4)*1&gt;LEFT('General inputs'!$I$16,4)+'General inputs'!$H$38-1),"",Q124/(1+'General inputs'!$H$34)^C124)</f>
        <v/>
      </c>
      <c r="T124" s="39"/>
      <c r="U124" s="84" t="str">
        <f>IF(OR(LEFT(D124,4)*1&lt;LEFT('General inputs'!$I$16,4)*1,LEFT(D124,4)*1&gt;LEFT('General inputs'!$I$16,4)+'General inputs'!$H$38-1),"",T124/(1+'General inputs'!$H$34)^C124)</f>
        <v/>
      </c>
      <c r="V124" s="56"/>
    </row>
    <row r="125" spans="2:22" x14ac:dyDescent="0.25">
      <c r="B125" s="55"/>
      <c r="C125" s="28">
        <f>IF(D125='General inputs'!$I$16,0,IF(D125&lt;'General inputs'!$I$16,C126-1,C124+1))</f>
        <v>57</v>
      </c>
      <c r="D125" s="28" t="str">
        <f t="shared" si="4"/>
        <v>2081-82</v>
      </c>
      <c r="E125" s="84" t="str">
        <f>IF(LEFT(D125,4)*1&gt;LEFT('General inputs'!$I$16,4)+'General inputs'!$H$38-1,"",'ET inputs'!D98)</f>
        <v/>
      </c>
      <c r="F125" s="84" t="str">
        <f>IF(LEFT(D125,4)*1&gt;LEFT('General inputs'!$I$16,4)+'General inputs'!$H$38-1,"",E125/(1+'General inputs'!$H$30)^C125)</f>
        <v/>
      </c>
      <c r="G125" s="84" t="str">
        <f>IF(LEFT(D125,4)*1&gt;LEFT('General inputs'!$I$16,4)+'General inputs'!$H$38-1,"",E125/(1+'General inputs'!$H$32)^C125)</f>
        <v/>
      </c>
      <c r="H125" s="84" t="str">
        <f>IF(LEFT(D125,4)*1&lt;LEFT('General inputs'!$I$16,4)*1,"",IF(LEFT(D125,4)*1&gt;LEFT('General inputs'!$I$16,4)+'General inputs'!$H$38-1,"",E125/(1+'General inputs'!$H$34)^C125))</f>
        <v/>
      </c>
      <c r="J125" s="114"/>
      <c r="K125" s="114"/>
      <c r="L125" s="84" t="str">
        <f>IF(LEFT(D125,4)*1&gt;LEFT('General inputs'!$I$18,4)*1,"",SUMIF('Post-1996 commissioned assets'!$F$22:$F$222,$D125,'Post-1996 commissioned assets'!$P$22:$P$222))</f>
        <v/>
      </c>
      <c r="M125" s="84" t="str">
        <f>IF(L125="","",L125/(1+'General inputs'!$H$32)^C125)</f>
        <v/>
      </c>
      <c r="N125" s="84">
        <f>IF(LEFT(D125,4)*1&lt;LEFT('General inputs'!$I$18,4)*1+1,"",SUMIF('Uncommissioned assets'!$F$22:$F$218,$D125,'Uncommissioned assets'!$P$22:$P$218))</f>
        <v>0</v>
      </c>
      <c r="O125" s="84">
        <f>IF(N125="","",N125/(1+'General inputs'!$H$32)^C125)</f>
        <v>0</v>
      </c>
      <c r="Q125" s="39"/>
      <c r="R125" s="84" t="str">
        <f>IF(OR(LEFT(D125,4)*1&lt;LEFT('General inputs'!$I$16,4)*1,LEFT(D125,4)*1&gt;LEFT('General inputs'!$I$16,4)+'General inputs'!$H$38-1),"",Q125/(1+'General inputs'!$H$34)^C125)</f>
        <v/>
      </c>
      <c r="T125" s="39"/>
      <c r="U125" s="84" t="str">
        <f>IF(OR(LEFT(D125,4)*1&lt;LEFT('General inputs'!$I$16,4)*1,LEFT(D125,4)*1&gt;LEFT('General inputs'!$I$16,4)+'General inputs'!$H$38-1),"",T125/(1+'General inputs'!$H$34)^C125)</f>
        <v/>
      </c>
      <c r="V125" s="56"/>
    </row>
    <row r="126" spans="2:22" x14ac:dyDescent="0.25">
      <c r="B126" s="55"/>
      <c r="C126" s="28">
        <f>IF(D126='General inputs'!$I$16,0,IF(D126&lt;'General inputs'!$I$16,C127-1,C125+1))</f>
        <v>58</v>
      </c>
      <c r="D126" s="28" t="str">
        <f t="shared" si="4"/>
        <v>2082-83</v>
      </c>
      <c r="E126" s="84" t="str">
        <f>IF(LEFT(D126,4)*1&gt;LEFT('General inputs'!$I$16,4)+'General inputs'!$H$38-1,"",'ET inputs'!D99)</f>
        <v/>
      </c>
      <c r="F126" s="84" t="str">
        <f>IF(LEFT(D126,4)*1&gt;LEFT('General inputs'!$I$16,4)+'General inputs'!$H$38-1,"",E126/(1+'General inputs'!$H$30)^C126)</f>
        <v/>
      </c>
      <c r="G126" s="84" t="str">
        <f>IF(LEFT(D126,4)*1&gt;LEFT('General inputs'!$I$16,4)+'General inputs'!$H$38-1,"",E126/(1+'General inputs'!$H$32)^C126)</f>
        <v/>
      </c>
      <c r="H126" s="84" t="str">
        <f>IF(LEFT(D126,4)*1&lt;LEFT('General inputs'!$I$16,4)*1,"",IF(LEFT(D126,4)*1&gt;LEFT('General inputs'!$I$16,4)+'General inputs'!$H$38-1,"",E126/(1+'General inputs'!$H$34)^C126))</f>
        <v/>
      </c>
      <c r="J126" s="114"/>
      <c r="K126" s="114"/>
      <c r="L126" s="84" t="str">
        <f>IF(LEFT(D126,4)*1&gt;LEFT('General inputs'!$I$18,4)*1,"",SUMIF('Post-1996 commissioned assets'!$F$22:$F$222,$D126,'Post-1996 commissioned assets'!$P$22:$P$222))</f>
        <v/>
      </c>
      <c r="M126" s="84" t="str">
        <f>IF(L126="","",L126/(1+'General inputs'!$H$32)^C126)</f>
        <v/>
      </c>
      <c r="N126" s="84">
        <f>IF(LEFT(D126,4)*1&lt;LEFT('General inputs'!$I$18,4)*1+1,"",SUMIF('Uncommissioned assets'!$F$22:$F$218,$D126,'Uncommissioned assets'!$P$22:$P$218))</f>
        <v>0</v>
      </c>
      <c r="O126" s="84">
        <f>IF(N126="","",N126/(1+'General inputs'!$H$32)^C126)</f>
        <v>0</v>
      </c>
      <c r="Q126" s="39"/>
      <c r="R126" s="84" t="str">
        <f>IF(OR(LEFT(D126,4)*1&lt;LEFT('General inputs'!$I$16,4)*1,LEFT(D126,4)*1&gt;LEFT('General inputs'!$I$16,4)+'General inputs'!$H$38-1),"",Q126/(1+'General inputs'!$H$34)^C126)</f>
        <v/>
      </c>
      <c r="T126" s="39"/>
      <c r="U126" s="84" t="str">
        <f>IF(OR(LEFT(D126,4)*1&lt;LEFT('General inputs'!$I$16,4)*1,LEFT(D126,4)*1&gt;LEFT('General inputs'!$I$16,4)+'General inputs'!$H$38-1),"",T126/(1+'General inputs'!$H$34)^C126)</f>
        <v/>
      </c>
      <c r="V126" s="56"/>
    </row>
    <row r="127" spans="2:22" x14ac:dyDescent="0.25">
      <c r="B127" s="55"/>
      <c r="C127" s="28">
        <f>IF(D127='General inputs'!$I$16,0,IF(D127&lt;'General inputs'!$I$16,C128-1,C126+1))</f>
        <v>59</v>
      </c>
      <c r="D127" s="28" t="str">
        <f t="shared" si="4"/>
        <v>2083-84</v>
      </c>
      <c r="E127" s="84" t="str">
        <f>IF(LEFT(D127,4)*1&gt;LEFT('General inputs'!$I$16,4)+'General inputs'!$H$38-1,"",'ET inputs'!D100)</f>
        <v/>
      </c>
      <c r="F127" s="84" t="str">
        <f>IF(LEFT(D127,4)*1&gt;LEFT('General inputs'!$I$16,4)+'General inputs'!$H$38-1,"",E127/(1+'General inputs'!$H$30)^C127)</f>
        <v/>
      </c>
      <c r="G127" s="84" t="str">
        <f>IF(LEFT(D127,4)*1&gt;LEFT('General inputs'!$I$16,4)+'General inputs'!$H$38-1,"",E127/(1+'General inputs'!$H$32)^C127)</f>
        <v/>
      </c>
      <c r="H127" s="84" t="str">
        <f>IF(LEFT(D127,4)*1&lt;LEFT('General inputs'!$I$16,4)*1,"",IF(LEFT(D127,4)*1&gt;LEFT('General inputs'!$I$16,4)+'General inputs'!$H$38-1,"",E127/(1+'General inputs'!$H$34)^C127))</f>
        <v/>
      </c>
      <c r="J127" s="114"/>
      <c r="K127" s="114"/>
      <c r="L127" s="84" t="str">
        <f>IF(LEFT(D127,4)*1&gt;LEFT('General inputs'!$I$18,4)*1,"",SUMIF('Post-1996 commissioned assets'!$F$22:$F$222,$D127,'Post-1996 commissioned assets'!$P$22:$P$222))</f>
        <v/>
      </c>
      <c r="M127" s="84" t="str">
        <f>IF(L127="","",L127/(1+'General inputs'!$H$32)^C127)</f>
        <v/>
      </c>
      <c r="N127" s="84">
        <f>IF(LEFT(D127,4)*1&lt;LEFT('General inputs'!$I$18,4)*1+1,"",SUMIF('Uncommissioned assets'!$F$22:$F$218,$D127,'Uncommissioned assets'!$P$22:$P$218))</f>
        <v>0</v>
      </c>
      <c r="O127" s="84">
        <f>IF(N127="","",N127/(1+'General inputs'!$H$32)^C127)</f>
        <v>0</v>
      </c>
      <c r="Q127" s="39"/>
      <c r="R127" s="84" t="str">
        <f>IF(OR(LEFT(D127,4)*1&lt;LEFT('General inputs'!$I$16,4)*1,LEFT(D127,4)*1&gt;LEFT('General inputs'!$I$16,4)+'General inputs'!$H$38-1),"",Q127/(1+'General inputs'!$H$34)^C127)</f>
        <v/>
      </c>
      <c r="T127" s="39"/>
      <c r="U127" s="84" t="str">
        <f>IF(OR(LEFT(D127,4)*1&lt;LEFT('General inputs'!$I$16,4)*1,LEFT(D127,4)*1&gt;LEFT('General inputs'!$I$16,4)+'General inputs'!$H$38-1),"",T127/(1+'General inputs'!$H$34)^C127)</f>
        <v/>
      </c>
      <c r="V127" s="56"/>
    </row>
    <row r="128" spans="2:22" x14ac:dyDescent="0.25">
      <c r="B128" s="55"/>
      <c r="C128" s="28">
        <f>IF(D128='General inputs'!$I$16,0,IF(D128&lt;'General inputs'!$I$16,C129-1,C127+1))</f>
        <v>60</v>
      </c>
      <c r="D128" s="28" t="str">
        <f t="shared" si="4"/>
        <v>2084-85</v>
      </c>
      <c r="E128" s="84" t="str">
        <f>IF(LEFT(D128,4)*1&gt;LEFT('General inputs'!$I$16,4)+'General inputs'!$H$38-1,"",'ET inputs'!D101)</f>
        <v/>
      </c>
      <c r="F128" s="84" t="str">
        <f>IF(LEFT(D128,4)*1&gt;LEFT('General inputs'!$I$16,4)+'General inputs'!$H$38-1,"",E128/(1+'General inputs'!$H$30)^C128)</f>
        <v/>
      </c>
      <c r="G128" s="84" t="str">
        <f>IF(LEFT(D128,4)*1&gt;LEFT('General inputs'!$I$16,4)+'General inputs'!$H$38-1,"",E128/(1+'General inputs'!$H$32)^C128)</f>
        <v/>
      </c>
      <c r="H128" s="84" t="str">
        <f>IF(LEFT(D128,4)*1&lt;LEFT('General inputs'!$I$16,4)*1,"",IF(LEFT(D128,4)*1&gt;LEFT('General inputs'!$I$16,4)+'General inputs'!$H$38-1,"",E128/(1+'General inputs'!$H$34)^C128))</f>
        <v/>
      </c>
      <c r="J128" s="114"/>
      <c r="K128" s="114"/>
      <c r="L128" s="84" t="str">
        <f>IF(LEFT(D128,4)*1&gt;LEFT('General inputs'!$I$18,4)*1,"",SUMIF('Post-1996 commissioned assets'!$F$22:$F$222,$D128,'Post-1996 commissioned assets'!$P$22:$P$222))</f>
        <v/>
      </c>
      <c r="M128" s="84" t="str">
        <f>IF(L128="","",L128/(1+'General inputs'!$H$32)^C128)</f>
        <v/>
      </c>
      <c r="N128" s="84">
        <f>IF(LEFT(D128,4)*1&lt;LEFT('General inputs'!$I$18,4)*1+1,"",SUMIF('Uncommissioned assets'!$F$22:$F$218,$D128,'Uncommissioned assets'!$P$22:$P$218))</f>
        <v>0</v>
      </c>
      <c r="O128" s="84">
        <f>IF(N128="","",N128/(1+'General inputs'!$H$32)^C128)</f>
        <v>0</v>
      </c>
      <c r="Q128" s="39"/>
      <c r="R128" s="84" t="str">
        <f>IF(OR(LEFT(D128,4)*1&lt;LEFT('General inputs'!$I$16,4)*1,LEFT(D128,4)*1&gt;LEFT('General inputs'!$I$16,4)+'General inputs'!$H$38-1),"",Q128/(1+'General inputs'!$H$34)^C128)</f>
        <v/>
      </c>
      <c r="T128" s="39"/>
      <c r="U128" s="84" t="str">
        <f>IF(OR(LEFT(D128,4)*1&lt;LEFT('General inputs'!$I$16,4)*1,LEFT(D128,4)*1&gt;LEFT('General inputs'!$I$16,4)+'General inputs'!$H$38-1),"",T128/(1+'General inputs'!$H$34)^C128)</f>
        <v/>
      </c>
      <c r="V128" s="56"/>
    </row>
    <row r="129" spans="2:22" x14ac:dyDescent="0.25">
      <c r="B129" s="55"/>
      <c r="C129" s="28">
        <f>IF(D129='General inputs'!$I$16,0,IF(D129&lt;'General inputs'!$I$16,C130-1,C128+1))</f>
        <v>61</v>
      </c>
      <c r="D129" s="28" t="str">
        <f t="shared" si="4"/>
        <v>2085-86</v>
      </c>
      <c r="E129" s="84" t="str">
        <f>IF(LEFT(D129,4)*1&gt;LEFT('General inputs'!$I$16,4)+'General inputs'!$H$38-1,"",'ET inputs'!D102)</f>
        <v/>
      </c>
      <c r="F129" s="84" t="str">
        <f>IF(LEFT(D129,4)*1&gt;LEFT('General inputs'!$I$16,4)+'General inputs'!$H$38-1,"",E129/(1+'General inputs'!$H$30)^C129)</f>
        <v/>
      </c>
      <c r="G129" s="84" t="str">
        <f>IF(LEFT(D129,4)*1&gt;LEFT('General inputs'!$I$16,4)+'General inputs'!$H$38-1,"",E129/(1+'General inputs'!$H$32)^C129)</f>
        <v/>
      </c>
      <c r="H129" s="84" t="str">
        <f>IF(LEFT(D129,4)*1&lt;LEFT('General inputs'!$I$16,4)*1,"",IF(LEFT(D129,4)*1&gt;LEFT('General inputs'!$I$16,4)+'General inputs'!$H$38-1,"",E129/(1+'General inputs'!$H$34)^C129))</f>
        <v/>
      </c>
      <c r="J129" s="114"/>
      <c r="K129" s="114"/>
      <c r="L129" s="84" t="str">
        <f>IF(LEFT(D129,4)*1&gt;LEFT('General inputs'!$I$18,4)*1,"",SUMIF('Post-1996 commissioned assets'!$F$22:$F$222,$D129,'Post-1996 commissioned assets'!$P$22:$P$222))</f>
        <v/>
      </c>
      <c r="M129" s="84" t="str">
        <f>IF(L129="","",L129/(1+'General inputs'!$H$32)^C129)</f>
        <v/>
      </c>
      <c r="N129" s="84">
        <f>IF(LEFT(D129,4)*1&lt;LEFT('General inputs'!$I$18,4)*1+1,"",SUMIF('Uncommissioned assets'!$F$22:$F$218,$D129,'Uncommissioned assets'!$P$22:$P$218))</f>
        <v>0</v>
      </c>
      <c r="O129" s="84">
        <f>IF(N129="","",N129/(1+'General inputs'!$H$32)^C129)</f>
        <v>0</v>
      </c>
      <c r="Q129" s="39"/>
      <c r="R129" s="84" t="str">
        <f>IF(OR(LEFT(D129,4)*1&lt;LEFT('General inputs'!$I$16,4)*1,LEFT(D129,4)*1&gt;LEFT('General inputs'!$I$16,4)+'General inputs'!$H$38-1),"",Q129/(1+'General inputs'!$H$34)^C129)</f>
        <v/>
      </c>
      <c r="T129" s="39"/>
      <c r="U129" s="84" t="str">
        <f>IF(OR(LEFT(D129,4)*1&lt;LEFT('General inputs'!$I$16,4)*1,LEFT(D129,4)*1&gt;LEFT('General inputs'!$I$16,4)+'General inputs'!$H$38-1),"",T129/(1+'General inputs'!$H$34)^C129)</f>
        <v/>
      </c>
      <c r="V129" s="56"/>
    </row>
    <row r="130" spans="2:22" x14ac:dyDescent="0.25">
      <c r="B130" s="57"/>
      <c r="C130" s="43"/>
      <c r="D130" s="43"/>
      <c r="E130" s="43"/>
      <c r="F130" s="43"/>
      <c r="G130" s="43"/>
      <c r="H130" s="43"/>
      <c r="I130" s="43"/>
      <c r="J130" s="43"/>
      <c r="K130" s="43"/>
      <c r="L130" s="43"/>
      <c r="M130" s="43"/>
      <c r="N130" s="43"/>
      <c r="O130" s="43"/>
      <c r="P130" s="43"/>
      <c r="Q130" s="43"/>
      <c r="R130" s="43"/>
      <c r="S130" s="43"/>
      <c r="T130" s="43"/>
      <c r="U130" s="43"/>
      <c r="V130" s="58"/>
    </row>
  </sheetData>
  <conditionalFormatting sqref="Q36">
    <cfRule type="containsText" dxfId="10" priority="5" operator="containsText" text="data">
      <formula>NOT(ISERROR(SEARCH("data",Q36)))</formula>
    </cfRule>
  </conditionalFormatting>
  <conditionalFormatting sqref="T36">
    <cfRule type="containsText" dxfId="8"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M50"/>
  <sheetViews>
    <sheetView showGridLines="0" topLeftCell="I25" zoomScaleNormal="100" workbookViewId="0">
      <selection activeCell="E54" sqref="E54"/>
    </sheetView>
  </sheetViews>
  <sheetFormatPr defaultRowHeight="11.5" x14ac:dyDescent="0.25"/>
  <cols>
    <col min="1" max="3" width="2.69921875" customWidth="1"/>
    <col min="4" max="6" width="15.69921875" customWidth="1"/>
    <col min="7" max="7" width="18.8984375" customWidth="1"/>
    <col min="8" max="14" width="15.69921875" customWidth="1"/>
  </cols>
  <sheetData>
    <row r="3" spans="3:13" ht="20" x14ac:dyDescent="0.4">
      <c r="C3" s="59" t="s">
        <v>123</v>
      </c>
    </row>
    <row r="5" spans="3:13" ht="15.5" x14ac:dyDescent="0.35">
      <c r="C5" s="2" t="s">
        <v>124</v>
      </c>
      <c r="H5" s="209" t="s">
        <v>125</v>
      </c>
      <c r="I5" s="210"/>
      <c r="L5" s="6" t="str">
        <f>"Do not delete - data validation for option at "&amp;ADDRESS(ROW(H5),COLUMN(H5))</f>
        <v>Do not delete - data validation for option at $H$5</v>
      </c>
    </row>
    <row r="6" spans="3:13" x14ac:dyDescent="0.25">
      <c r="L6" t="s">
        <v>126</v>
      </c>
      <c r="M6" t="s">
        <v>127</v>
      </c>
    </row>
    <row r="7" spans="3:13" ht="15.5" x14ac:dyDescent="0.35">
      <c r="C7" s="2" t="s">
        <v>128</v>
      </c>
      <c r="H7" s="209" t="s">
        <v>129</v>
      </c>
      <c r="I7" s="210"/>
      <c r="L7" s="44" t="s">
        <v>125</v>
      </c>
      <c r="M7" s="140">
        <v>0</v>
      </c>
    </row>
    <row r="8" spans="3:13" x14ac:dyDescent="0.25">
      <c r="L8" s="45" t="s">
        <v>130</v>
      </c>
      <c r="M8" s="141">
        <v>0.03</v>
      </c>
    </row>
    <row r="9" spans="3:13" ht="15.5" x14ac:dyDescent="0.35">
      <c r="C9" s="2" t="s">
        <v>131</v>
      </c>
      <c r="H9" s="209" t="s">
        <v>132</v>
      </c>
      <c r="I9" s="210"/>
      <c r="L9" s="46" t="s">
        <v>133</v>
      </c>
      <c r="M9" s="142">
        <v>0.03</v>
      </c>
    </row>
    <row r="11" spans="3:13" ht="15.5" x14ac:dyDescent="0.35">
      <c r="C11" s="2" t="s">
        <v>134</v>
      </c>
      <c r="H11" s="209" t="s">
        <v>135</v>
      </c>
      <c r="I11" s="210"/>
    </row>
    <row r="12" spans="3:13" x14ac:dyDescent="0.25">
      <c r="L12" s="6" t="str">
        <f>"Do not delete - data validation for options at "&amp;ADDRESS(ROW(H11),COLUMN(H11))</f>
        <v>Do not delete - data validation for options at $H$11</v>
      </c>
    </row>
    <row r="13" spans="3:13" x14ac:dyDescent="0.25">
      <c r="L13" s="44" t="s">
        <v>135</v>
      </c>
    </row>
    <row r="14" spans="3:13" ht="15.5" x14ac:dyDescent="0.35">
      <c r="C14" s="2" t="s">
        <v>136</v>
      </c>
      <c r="I14" s="108" t="s">
        <v>137</v>
      </c>
      <c r="L14" s="45" t="s">
        <v>138</v>
      </c>
    </row>
    <row r="15" spans="3:13" x14ac:dyDescent="0.25">
      <c r="L15" s="46" t="s">
        <v>139</v>
      </c>
    </row>
    <row r="16" spans="3:13" x14ac:dyDescent="0.25">
      <c r="D16" s="6" t="s">
        <v>140</v>
      </c>
      <c r="I16" s="50" t="s">
        <v>141</v>
      </c>
    </row>
    <row r="17" spans="3:12" x14ac:dyDescent="0.25">
      <c r="D17" s="6"/>
    </row>
    <row r="18" spans="3:12" x14ac:dyDescent="0.25">
      <c r="D18" s="6" t="s">
        <v>142</v>
      </c>
      <c r="H18" s="186">
        <v>45473</v>
      </c>
      <c r="I18" s="68" t="str">
        <f>IF(MONTH(H18)&gt;=7,YEAR(H18)&amp;"-"&amp;RIGHT(YEAR(H18),2)+1,RIGHT(YEAR(H18),4)-1&amp;"-"&amp;RIGHT(YEAR(H18),2))</f>
        <v>2023-24</v>
      </c>
      <c r="L18" s="6" t="str">
        <f>"Do not delete - data validation for options at "&amp;ADDRESS(ROW(I16),COLUMN(I16))&amp;" and "&amp;ADDRESS(ROW(I40),COLUMN(I40))</f>
        <v>Do not delete - data validation for options at $I$16 and $I$40</v>
      </c>
    </row>
    <row r="19" spans="3:12" x14ac:dyDescent="0.25">
      <c r="L19" s="173" t="s">
        <v>143</v>
      </c>
    </row>
    <row r="20" spans="3:12" x14ac:dyDescent="0.25">
      <c r="L20" s="45" t="s">
        <v>144</v>
      </c>
    </row>
    <row r="21" spans="3:12" x14ac:dyDescent="0.25">
      <c r="D21" s="6" t="s">
        <v>145</v>
      </c>
      <c r="L21" s="45" t="s">
        <v>146</v>
      </c>
    </row>
    <row r="22" spans="3:12" x14ac:dyDescent="0.25">
      <c r="L22" s="45" t="s">
        <v>147</v>
      </c>
    </row>
    <row r="23" spans="3:12" x14ac:dyDescent="0.25">
      <c r="D23" s="66" t="s">
        <v>148</v>
      </c>
      <c r="H23" s="67">
        <v>25569</v>
      </c>
      <c r="L23" s="45" t="s">
        <v>149</v>
      </c>
    </row>
    <row r="24" spans="3:12" x14ac:dyDescent="0.25">
      <c r="D24" s="66" t="s">
        <v>150</v>
      </c>
      <c r="H24" s="67">
        <v>35064</v>
      </c>
      <c r="L24" s="45" t="s">
        <v>151</v>
      </c>
    </row>
    <row r="25" spans="3:12" x14ac:dyDescent="0.25">
      <c r="L25" s="45" t="s">
        <v>141</v>
      </c>
    </row>
    <row r="26" spans="3:12" x14ac:dyDescent="0.25">
      <c r="L26" s="45" t="s">
        <v>152</v>
      </c>
    </row>
    <row r="27" spans="3:12" x14ac:dyDescent="0.25">
      <c r="L27" s="45" t="s">
        <v>153</v>
      </c>
    </row>
    <row r="28" spans="3:12" ht="15.5" x14ac:dyDescent="0.35">
      <c r="C28" s="2" t="s">
        <v>154</v>
      </c>
      <c r="L28" s="45" t="s">
        <v>155</v>
      </c>
    </row>
    <row r="29" spans="3:12" x14ac:dyDescent="0.25">
      <c r="L29" s="45" t="s">
        <v>156</v>
      </c>
    </row>
    <row r="30" spans="3:12" x14ac:dyDescent="0.25">
      <c r="D30" s="6" t="s">
        <v>157</v>
      </c>
      <c r="H30" s="69">
        <f>INDEX($M$7:$M$12,MATCH($H$5,$L$7:$L$12))</f>
        <v>0</v>
      </c>
      <c r="L30" s="45" t="s">
        <v>158</v>
      </c>
    </row>
    <row r="31" spans="3:12" ht="12" customHeight="1" x14ac:dyDescent="0.35">
      <c r="C31" s="2"/>
      <c r="D31" s="6"/>
      <c r="H31" s="36"/>
      <c r="L31" s="46" t="s">
        <v>159</v>
      </c>
    </row>
    <row r="32" spans="3:12" ht="12" customHeight="1" x14ac:dyDescent="0.35">
      <c r="C32" s="2"/>
      <c r="D32" s="5" t="s">
        <v>160</v>
      </c>
      <c r="H32" s="175">
        <v>2.8000000000000001E-2</v>
      </c>
    </row>
    <row r="33" spans="3:12" ht="12" customHeight="1" x14ac:dyDescent="0.25">
      <c r="D33" s="6"/>
      <c r="H33" s="36"/>
    </row>
    <row r="34" spans="3:12" ht="12" customHeight="1" x14ac:dyDescent="0.25">
      <c r="D34" s="5" t="s">
        <v>161</v>
      </c>
      <c r="H34" s="175">
        <v>2.8000000000000001E-2</v>
      </c>
    </row>
    <row r="35" spans="3:12" ht="12" customHeight="1" x14ac:dyDescent="0.35">
      <c r="C35" s="2"/>
    </row>
    <row r="36" spans="3:12" ht="12" customHeight="1" x14ac:dyDescent="0.35">
      <c r="C36" s="2"/>
      <c r="D36" s="6" t="s">
        <v>162</v>
      </c>
      <c r="H36" s="64">
        <v>150</v>
      </c>
      <c r="L36" s="6" t="str">
        <f>"Do not delete - data validation for option at "&amp;ADDRESS(ROW(H42),COLUMN(H42))</f>
        <v>Do not delete - data validation for option at $H$42</v>
      </c>
    </row>
    <row r="37" spans="3:12" ht="12" customHeight="1" x14ac:dyDescent="0.35">
      <c r="C37" s="2"/>
      <c r="L37" s="44" t="s">
        <v>163</v>
      </c>
    </row>
    <row r="38" spans="3:12" ht="12" customHeight="1" x14ac:dyDescent="0.35">
      <c r="C38" s="2"/>
      <c r="D38" s="6" t="s">
        <v>164</v>
      </c>
      <c r="H38" s="70">
        <v>30</v>
      </c>
      <c r="L38" s="45" t="s">
        <v>165</v>
      </c>
    </row>
    <row r="39" spans="3:12" ht="12" customHeight="1" x14ac:dyDescent="0.35">
      <c r="C39" s="2"/>
      <c r="L39" s="46" t="s">
        <v>166</v>
      </c>
    </row>
    <row r="40" spans="3:12" ht="12" customHeight="1" x14ac:dyDescent="0.25">
      <c r="D40" s="6" t="s">
        <v>167</v>
      </c>
      <c r="I40" s="50" t="s">
        <v>141</v>
      </c>
    </row>
    <row r="42" spans="3:12" x14ac:dyDescent="0.25">
      <c r="D42" s="6" t="s">
        <v>168</v>
      </c>
      <c r="H42" s="174" t="s">
        <v>163</v>
      </c>
    </row>
    <row r="43" spans="3:12" x14ac:dyDescent="0.25">
      <c r="D43" s="6"/>
    </row>
    <row r="47" spans="3:12" ht="15.5" x14ac:dyDescent="0.35">
      <c r="C47" s="2"/>
    </row>
    <row r="49" spans="6:6" x14ac:dyDescent="0.25">
      <c r="F49" s="32"/>
    </row>
    <row r="50" spans="6:6" x14ac:dyDescent="0.25">
      <c r="F50" s="32"/>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C1:P219"/>
  <sheetViews>
    <sheetView showGridLines="0" zoomScaleNormal="100" workbookViewId="0">
      <pane ySplit="21" topLeftCell="A22" activePane="bottomLeft" state="frozen"/>
      <selection activeCell="A22" sqref="A22"/>
      <selection pane="bottomLeft" activeCell="N88" sqref="N88:N103"/>
    </sheetView>
  </sheetViews>
  <sheetFormatPr defaultColWidth="28" defaultRowHeight="11.5" x14ac:dyDescent="0.25"/>
  <cols>
    <col min="1" max="2" width="2.69921875" customWidth="1"/>
    <col min="3" max="3" width="15.69921875" style="37"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s>
  <sheetData>
    <row r="1" spans="3:8" hidden="1" x14ac:dyDescent="0.25">
      <c r="E1" s="32"/>
    </row>
    <row r="2" spans="3:8" hidden="1" x14ac:dyDescent="0.25">
      <c r="E2" s="32"/>
    </row>
    <row r="3" spans="3:8" ht="20" hidden="1" x14ac:dyDescent="0.4">
      <c r="C3" s="198" t="s">
        <v>169</v>
      </c>
    </row>
    <row r="4" spans="3:8" hidden="1" x14ac:dyDescent="0.25"/>
    <row r="5" spans="3:8" hidden="1" x14ac:dyDescent="0.25"/>
    <row r="6" spans="3:8" hidden="1" x14ac:dyDescent="0.25">
      <c r="C6" s="199"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8" hidden="1" x14ac:dyDescent="0.25">
      <c r="C7" s="200" t="str">
        <f ca="1">"Hyperlink to the '"&amp;MID(CELL("filename",'Asset exclusions'!A1),FIND("]",CELL("filename",'Asset exclusions'!A1))+1,255)&amp;"' worksheet:"</f>
        <v>Hyperlink to the 'Asset exclusions' worksheet:</v>
      </c>
      <c r="E7" s="168" t="s">
        <v>170</v>
      </c>
    </row>
    <row r="8" spans="3:8" hidden="1" x14ac:dyDescent="0.25">
      <c r="C8" s="200"/>
      <c r="E8" s="168"/>
    </row>
    <row r="9" spans="3:8" hidden="1" x14ac:dyDescent="0.25">
      <c r="C9" s="200" t="s">
        <v>171</v>
      </c>
      <c r="E9" s="168"/>
    </row>
    <row r="10" spans="3:8" hidden="1" x14ac:dyDescent="0.25">
      <c r="C10" s="200" t="s">
        <v>172</v>
      </c>
      <c r="E10" s="168"/>
    </row>
    <row r="11" spans="3:8" hidden="1" x14ac:dyDescent="0.25">
      <c r="C11" s="200" t="s">
        <v>173</v>
      </c>
      <c r="E11" s="168"/>
    </row>
    <row r="12" spans="3:8" hidden="1" x14ac:dyDescent="0.25">
      <c r="C12" s="200" t="s">
        <v>174</v>
      </c>
      <c r="E12" s="168"/>
    </row>
    <row r="13" spans="3:8" hidden="1" x14ac:dyDescent="0.25">
      <c r="H13" s="32"/>
    </row>
    <row r="14" spans="3:8" hidden="1" x14ac:dyDescent="0.25">
      <c r="C14" s="108" t="s">
        <v>175</v>
      </c>
      <c r="H14" s="32"/>
    </row>
    <row r="15" spans="3:8" hidden="1" x14ac:dyDescent="0.25">
      <c r="C15" s="37" t="s">
        <v>176</v>
      </c>
      <c r="E15" s="90">
        <f>'General inputs'!$H$23</f>
        <v>25569</v>
      </c>
      <c r="H15" s="32"/>
    </row>
    <row r="16" spans="3:8" hidden="1" x14ac:dyDescent="0.25">
      <c r="C16" s="37" t="s">
        <v>177</v>
      </c>
      <c r="E16" s="91">
        <f>'General inputs'!$H$24</f>
        <v>35064</v>
      </c>
      <c r="H16" s="32"/>
    </row>
    <row r="17" spans="3:16" hidden="1" x14ac:dyDescent="0.25"/>
    <row r="18" spans="3:16" ht="15.5" hidden="1" x14ac:dyDescent="0.35">
      <c r="C18" s="201" t="s">
        <v>178</v>
      </c>
    </row>
    <row r="19" spans="3:16" hidden="1" x14ac:dyDescent="0.25"/>
    <row r="20" spans="3:16" hidden="1" x14ac:dyDescent="0.25">
      <c r="C20" s="108" t="s">
        <v>179</v>
      </c>
      <c r="H20" s="6" t="s">
        <v>180</v>
      </c>
      <c r="L20" s="6" t="s">
        <v>181</v>
      </c>
      <c r="M20" s="6"/>
    </row>
    <row r="21" spans="3:16" ht="46" x14ac:dyDescent="0.25">
      <c r="C21" s="176" t="s">
        <v>182</v>
      </c>
      <c r="D21" s="24" t="s">
        <v>183</v>
      </c>
      <c r="E21" s="176" t="s">
        <v>184</v>
      </c>
      <c r="F21" s="24" t="s">
        <v>185</v>
      </c>
      <c r="H21" s="176" t="s">
        <v>186</v>
      </c>
      <c r="I21" s="176" t="s">
        <v>187</v>
      </c>
      <c r="J21" s="176" t="s">
        <v>188</v>
      </c>
      <c r="L21" s="176" t="s">
        <v>189</v>
      </c>
      <c r="M21" s="24" t="s">
        <v>190</v>
      </c>
      <c r="N21" s="176" t="str">
        <f>"MEERA value per unit/measure of length (B) 
("&amp;'General inputs'!$H$42&amp;" as at 1 July "&amp;LEFT('General inputs'!$I$40,4)&amp;")"</f>
        <v>MEERA value per unit/measure of length (B) 
($ as at 1 July 2024)</v>
      </c>
      <c r="O21" s="176" t="str">
        <f>"Total MEERA value (A x B)
("&amp;'General inputs'!$H$42&amp;", $"&amp;'General inputs'!$I$40&amp;")"</f>
        <v>Total MEERA value (A x B)
($, $2024-25)</v>
      </c>
      <c r="P21" s="24" t="str">
        <f>"MEERA value to be recovered via DSP ("&amp;'General inputs'!$H$42&amp;", $"&amp;'General inputs'!$I$40&amp;")"</f>
        <v>MEERA value to be recovered via DSP ($, $2024-25)</v>
      </c>
    </row>
    <row r="22" spans="3:16" ht="12" customHeight="1" x14ac:dyDescent="0.25">
      <c r="C22" s="25"/>
      <c r="D22" s="195" t="s">
        <v>191</v>
      </c>
      <c r="E22" s="33"/>
      <c r="F22" s="92" t="str">
        <f>IF(E22="","-",IF(OR(E22&lt;$E$15,E22&gt;$E$16),"ERROR - date outside of range","Date check - OK"))</f>
        <v>-</v>
      </c>
      <c r="H22" s="119"/>
      <c r="I22" s="25"/>
      <c r="J22" s="101" t="str">
        <f>IFERROR(MIN('MP Calculations'!$E$29/I22,1),"-")</f>
        <v>-</v>
      </c>
      <c r="L22" s="25"/>
      <c r="M22" s="177"/>
      <c r="N22" s="25"/>
      <c r="O22" s="95" t="str">
        <f>IF(N22="","-",L22*N22)</f>
        <v>-</v>
      </c>
      <c r="P22" s="97" t="str">
        <f>IF(O22="-","-",IF(OR(E22&lt;$E$15,E22&gt;$E$16),0,O22*J22))</f>
        <v>-</v>
      </c>
    </row>
    <row r="23" spans="3:16" ht="12" customHeight="1" x14ac:dyDescent="0.25">
      <c r="C23" s="26"/>
      <c r="D23" s="116" t="s">
        <v>192</v>
      </c>
      <c r="E23" s="34">
        <v>27211</v>
      </c>
      <c r="F23" s="93" t="str">
        <f t="shared" ref="F23:F85" si="0">IF(E23="","-",IF(OR(E23&lt;$E$15,E23&gt;$E$16),"ERROR - date outside of range","Date check - OK"))</f>
        <v>Date check - OK</v>
      </c>
      <c r="H23" s="120" t="s">
        <v>193</v>
      </c>
      <c r="I23" s="26">
        <v>160175</v>
      </c>
      <c r="J23" s="102">
        <f>IFERROR(MIN('MP Calculations'!$E$29/I23,1),"-")</f>
        <v>0.50792864054939912</v>
      </c>
      <c r="L23" s="26">
        <v>1</v>
      </c>
      <c r="M23" s="26"/>
      <c r="N23" s="143">
        <v>576231.68591999984</v>
      </c>
      <c r="O23" s="96">
        <f t="shared" ref="O23:O85" si="1">IF(N23="","-",L23*N23)</f>
        <v>576231.68591999984</v>
      </c>
      <c r="P23" s="98">
        <f t="shared" ref="P23:P85" si="2">IF(O23="-","-",IF(OR(E23&lt;$E$15,E23&gt;$E$16),0,O23*J23))</f>
        <v>292684.57687083387</v>
      </c>
    </row>
    <row r="24" spans="3:16" x14ac:dyDescent="0.25">
      <c r="C24" s="26"/>
      <c r="D24" s="116" t="s">
        <v>194</v>
      </c>
      <c r="E24" s="29">
        <v>27211</v>
      </c>
      <c r="F24" s="93" t="str">
        <f t="shared" si="0"/>
        <v>Date check - OK</v>
      </c>
      <c r="H24" s="120" t="s">
        <v>193</v>
      </c>
      <c r="I24" s="26">
        <v>160175</v>
      </c>
      <c r="J24" s="102">
        <f>IFERROR(MIN('MP Calculations'!$E$29/I24,1),"-")</f>
        <v>0.50792864054939912</v>
      </c>
      <c r="K24" s="37"/>
      <c r="L24" s="26">
        <v>1</v>
      </c>
      <c r="M24" s="26"/>
      <c r="N24" s="26">
        <v>1649944.1427499999</v>
      </c>
      <c r="O24" s="96">
        <f t="shared" si="1"/>
        <v>1649944.1427499999</v>
      </c>
      <c r="P24" s="98">
        <f t="shared" si="2"/>
        <v>838053.88540945121</v>
      </c>
    </row>
    <row r="25" spans="3:16" x14ac:dyDescent="0.25">
      <c r="C25" s="26"/>
      <c r="D25" s="116" t="s">
        <v>195</v>
      </c>
      <c r="E25" s="29">
        <v>27942</v>
      </c>
      <c r="F25" s="93" t="str">
        <f>IF(E25="","-",IF(OR(E25&lt;$E$15,E25&gt;$E$16),"ERROR - date outside of range","Date check - OK"))</f>
        <v>Date check - OK</v>
      </c>
      <c r="H25" s="120" t="s">
        <v>193</v>
      </c>
      <c r="I25" s="26">
        <v>160175</v>
      </c>
      <c r="J25" s="102">
        <f>IFERROR(MIN('MP Calculations'!$E$29/I25,1),"-")</f>
        <v>0.50792864054939912</v>
      </c>
      <c r="K25" s="37"/>
      <c r="L25" s="26">
        <v>1</v>
      </c>
      <c r="M25" s="26"/>
      <c r="N25" s="26">
        <v>1481864.0292600002</v>
      </c>
      <c r="O25" s="96">
        <f t="shared" si="1"/>
        <v>1481864.0292600002</v>
      </c>
      <c r="P25" s="98">
        <f t="shared" si="2"/>
        <v>752681.18186108686</v>
      </c>
    </row>
    <row r="26" spans="3:16" x14ac:dyDescent="0.25">
      <c r="C26" s="26"/>
      <c r="D26" s="116" t="s">
        <v>196</v>
      </c>
      <c r="E26" s="29">
        <v>30498</v>
      </c>
      <c r="F26" s="93" t="str">
        <f t="shared" si="0"/>
        <v>Date check - OK</v>
      </c>
      <c r="H26" s="120" t="s">
        <v>193</v>
      </c>
      <c r="I26" s="26">
        <v>160175</v>
      </c>
      <c r="J26" s="102">
        <f>IFERROR(MIN('MP Calculations'!$E$29/I26,1),"-")</f>
        <v>0.50792864054939912</v>
      </c>
      <c r="K26" s="37"/>
      <c r="L26" s="26">
        <v>1</v>
      </c>
      <c r="M26" s="26"/>
      <c r="N26" s="26">
        <v>214407.56289</v>
      </c>
      <c r="O26" s="96">
        <f t="shared" si="1"/>
        <v>214407.56289</v>
      </c>
      <c r="P26" s="98">
        <f>IF(O26="-","-",IF(OR(E26&lt;$E$15,E26&gt;$E$16),0,O26*J26))</f>
        <v>108903.7419422275</v>
      </c>
    </row>
    <row r="27" spans="3:16" x14ac:dyDescent="0.25">
      <c r="C27" s="26"/>
      <c r="D27" s="116" t="s">
        <v>197</v>
      </c>
      <c r="E27" s="29">
        <v>27942</v>
      </c>
      <c r="F27" s="93" t="str">
        <f t="shared" si="0"/>
        <v>Date check - OK</v>
      </c>
      <c r="H27" s="120" t="s">
        <v>193</v>
      </c>
      <c r="I27" s="26">
        <v>160175</v>
      </c>
      <c r="J27" s="102">
        <f>IFERROR(MIN('MP Calculations'!$E$29/I27,1),"-")</f>
        <v>0.50792864054939912</v>
      </c>
      <c r="K27" s="37"/>
      <c r="L27" s="26">
        <v>1</v>
      </c>
      <c r="M27" s="26"/>
      <c r="N27" s="26">
        <v>143753.25759999998</v>
      </c>
      <c r="O27" s="96">
        <f t="shared" si="1"/>
        <v>143753.25759999998</v>
      </c>
      <c r="P27" s="98">
        <f t="shared" si="2"/>
        <v>73016.396707315565</v>
      </c>
    </row>
    <row r="28" spans="3:16" x14ac:dyDescent="0.25">
      <c r="C28" s="26"/>
      <c r="D28" s="116" t="s">
        <v>198</v>
      </c>
      <c r="E28" s="29">
        <v>32690</v>
      </c>
      <c r="F28" s="93" t="str">
        <f t="shared" si="0"/>
        <v>Date check - OK</v>
      </c>
      <c r="H28" s="120" t="s">
        <v>193</v>
      </c>
      <c r="I28" s="26">
        <v>160175</v>
      </c>
      <c r="J28" s="102">
        <f>IFERROR(MIN('MP Calculations'!$E$29/I28,1),"-")</f>
        <v>0.50792864054939912</v>
      </c>
      <c r="K28" s="37"/>
      <c r="L28" s="26">
        <v>1</v>
      </c>
      <c r="M28" s="26"/>
      <c r="N28" s="26">
        <v>194083.53509000002</v>
      </c>
      <c r="O28" s="96">
        <f t="shared" si="1"/>
        <v>194083.53509000002</v>
      </c>
      <c r="P28" s="98">
        <f t="shared" si="2"/>
        <v>98580.586131285309</v>
      </c>
    </row>
    <row r="29" spans="3:16" x14ac:dyDescent="0.25">
      <c r="C29" s="26"/>
      <c r="D29" s="116" t="s">
        <v>199</v>
      </c>
      <c r="E29" s="29">
        <v>32325</v>
      </c>
      <c r="F29" s="93" t="str">
        <f t="shared" si="0"/>
        <v>Date check - OK</v>
      </c>
      <c r="H29" s="120" t="s">
        <v>193</v>
      </c>
      <c r="I29" s="26">
        <v>160175</v>
      </c>
      <c r="J29" s="102">
        <f>IFERROR(MIN('MP Calculations'!$E$29/I29,1),"-")</f>
        <v>0.50792864054939912</v>
      </c>
      <c r="K29" s="37"/>
      <c r="L29" s="26">
        <v>1</v>
      </c>
      <c r="M29" s="26"/>
      <c r="N29" s="26">
        <v>150235.97273999997</v>
      </c>
      <c r="O29" s="96">
        <f t="shared" si="1"/>
        <v>150235.97273999997</v>
      </c>
      <c r="P29" s="98">
        <f t="shared" si="2"/>
        <v>76309.153395444766</v>
      </c>
    </row>
    <row r="30" spans="3:16" x14ac:dyDescent="0.25">
      <c r="C30" s="26"/>
      <c r="D30" s="116" t="s">
        <v>200</v>
      </c>
      <c r="E30" s="29">
        <v>33055</v>
      </c>
      <c r="F30" s="93" t="str">
        <f t="shared" si="0"/>
        <v>Date check - OK</v>
      </c>
      <c r="H30" s="120" t="s">
        <v>193</v>
      </c>
      <c r="I30" s="26">
        <v>160175</v>
      </c>
      <c r="J30" s="102">
        <f>IFERROR(MIN('MP Calculations'!$E$29/I30,1),"-")</f>
        <v>0.50792864054939912</v>
      </c>
      <c r="K30" s="37"/>
      <c r="L30" s="26">
        <v>1</v>
      </c>
      <c r="M30" s="26"/>
      <c r="N30" s="26">
        <v>571166.69620999997</v>
      </c>
      <c r="O30" s="96">
        <f t="shared" si="1"/>
        <v>571166.69620999997</v>
      </c>
      <c r="P30" s="98">
        <f t="shared" si="2"/>
        <v>290111.9235330369</v>
      </c>
    </row>
    <row r="31" spans="3:16" x14ac:dyDescent="0.25">
      <c r="C31" s="26"/>
      <c r="D31" s="116"/>
      <c r="E31" s="29"/>
      <c r="F31" s="93" t="str">
        <f t="shared" si="0"/>
        <v>-</v>
      </c>
      <c r="H31" s="120"/>
      <c r="I31" s="26"/>
      <c r="J31" s="102" t="str">
        <f>IFERROR(MIN('MP Calculations'!$E$29/I31,1),"-")</f>
        <v>-</v>
      </c>
      <c r="K31" s="37"/>
      <c r="L31" s="26"/>
      <c r="M31" s="26"/>
      <c r="N31" s="26"/>
      <c r="O31" s="96" t="str">
        <f t="shared" si="1"/>
        <v>-</v>
      </c>
      <c r="P31" s="98" t="str">
        <f t="shared" si="2"/>
        <v>-</v>
      </c>
    </row>
    <row r="32" spans="3:16" x14ac:dyDescent="0.25">
      <c r="C32" s="26"/>
      <c r="D32" s="196" t="s">
        <v>201</v>
      </c>
      <c r="E32" s="29"/>
      <c r="F32" s="93" t="str">
        <f t="shared" si="0"/>
        <v>-</v>
      </c>
      <c r="H32" s="120"/>
      <c r="I32" s="26"/>
      <c r="J32" s="102" t="str">
        <f>IFERROR(MIN('MP Calculations'!$E$29/I32,1),"-")</f>
        <v>-</v>
      </c>
      <c r="K32" s="37"/>
      <c r="L32" s="26"/>
      <c r="M32" s="26"/>
      <c r="N32" s="26"/>
      <c r="O32" s="96" t="str">
        <f t="shared" si="1"/>
        <v>-</v>
      </c>
      <c r="P32" s="98" t="str">
        <f t="shared" si="2"/>
        <v>-</v>
      </c>
    </row>
    <row r="33" spans="3:16" x14ac:dyDescent="0.25">
      <c r="C33" s="26"/>
      <c r="D33" s="197">
        <v>1970</v>
      </c>
      <c r="E33" s="29">
        <v>25569</v>
      </c>
      <c r="F33" s="93" t="str">
        <f t="shared" si="0"/>
        <v>Date check - OK</v>
      </c>
      <c r="H33" s="120" t="s">
        <v>193</v>
      </c>
      <c r="I33" s="26">
        <v>160175</v>
      </c>
      <c r="J33" s="102">
        <f>IFERROR(MIN('MP Calculations'!$E$29/I33,1),"-")</f>
        <v>0.50792864054939912</v>
      </c>
      <c r="K33" s="37"/>
      <c r="L33" s="26">
        <v>1</v>
      </c>
      <c r="M33" s="26"/>
      <c r="N33" s="26">
        <v>425113.37766</v>
      </c>
      <c r="O33" s="96">
        <f t="shared" si="1"/>
        <v>425113.37766</v>
      </c>
      <c r="P33" s="98">
        <f t="shared" si="2"/>
        <v>215927.2599942071</v>
      </c>
    </row>
    <row r="34" spans="3:16" x14ac:dyDescent="0.25">
      <c r="C34" s="26"/>
      <c r="D34" s="197">
        <v>1974</v>
      </c>
      <c r="E34" s="29">
        <v>27030</v>
      </c>
      <c r="F34" s="93" t="str">
        <f t="shared" si="0"/>
        <v>Date check - OK</v>
      </c>
      <c r="H34" s="120" t="s">
        <v>193</v>
      </c>
      <c r="I34" s="26">
        <v>160175</v>
      </c>
      <c r="J34" s="102">
        <f>IFERROR(MIN('MP Calculations'!$E$29/I34,1),"-")</f>
        <v>0.50792864054939912</v>
      </c>
      <c r="K34" s="37"/>
      <c r="L34" s="26">
        <v>1</v>
      </c>
      <c r="M34" s="26"/>
      <c r="N34" s="26">
        <v>697812.19620999997</v>
      </c>
      <c r="O34" s="96">
        <f t="shared" si="1"/>
        <v>697812.19620999997</v>
      </c>
      <c r="P34" s="98">
        <f t="shared" si="2"/>
        <v>354438.80017973587</v>
      </c>
    </row>
    <row r="35" spans="3:16" x14ac:dyDescent="0.25">
      <c r="C35" s="26"/>
      <c r="D35" s="197">
        <v>1975</v>
      </c>
      <c r="E35" s="29">
        <v>27395</v>
      </c>
      <c r="F35" s="93" t="str">
        <f t="shared" si="0"/>
        <v>Date check - OK</v>
      </c>
      <c r="H35" s="120" t="s">
        <v>193</v>
      </c>
      <c r="I35" s="26">
        <v>160175</v>
      </c>
      <c r="J35" s="102">
        <f>IFERROR(MIN('MP Calculations'!$E$29/I35,1),"-")</f>
        <v>0.50792864054939912</v>
      </c>
      <c r="K35" s="37"/>
      <c r="L35" s="26">
        <v>1</v>
      </c>
      <c r="M35" s="26"/>
      <c r="N35" s="26">
        <v>5872937.6255699992</v>
      </c>
      <c r="O35" s="96">
        <f t="shared" si="1"/>
        <v>5872937.6255699992</v>
      </c>
      <c r="P35" s="98">
        <f t="shared" si="2"/>
        <v>2983033.2241871855</v>
      </c>
    </row>
    <row r="36" spans="3:16" x14ac:dyDescent="0.25">
      <c r="C36" s="26"/>
      <c r="D36" s="197">
        <v>1978</v>
      </c>
      <c r="E36" s="29">
        <v>28491</v>
      </c>
      <c r="F36" s="93" t="str">
        <f t="shared" si="0"/>
        <v>Date check - OK</v>
      </c>
      <c r="H36" s="120" t="s">
        <v>193</v>
      </c>
      <c r="I36" s="26">
        <v>160175</v>
      </c>
      <c r="J36" s="102">
        <f>IFERROR(MIN('MP Calculations'!$E$29/I36,1),"-")</f>
        <v>0.50792864054939912</v>
      </c>
      <c r="K36" s="37"/>
      <c r="L36" s="26">
        <v>1</v>
      </c>
      <c r="M36" s="26"/>
      <c r="N36" s="26">
        <v>382526.58439999999</v>
      </c>
      <c r="O36" s="96">
        <f t="shared" si="1"/>
        <v>382526.58439999999</v>
      </c>
      <c r="P36" s="98">
        <f t="shared" si="2"/>
        <v>194296.20798829698</v>
      </c>
    </row>
    <row r="37" spans="3:16" x14ac:dyDescent="0.25">
      <c r="C37" s="26"/>
      <c r="D37" s="197">
        <v>1980</v>
      </c>
      <c r="E37" s="29">
        <v>29221</v>
      </c>
      <c r="F37" s="93" t="str">
        <f t="shared" si="0"/>
        <v>Date check - OK</v>
      </c>
      <c r="H37" s="120" t="s">
        <v>193</v>
      </c>
      <c r="I37" s="26">
        <v>160175</v>
      </c>
      <c r="J37" s="102">
        <f>IFERROR(MIN('MP Calculations'!$E$29/I37,1),"-")</f>
        <v>0.50792864054939912</v>
      </c>
      <c r="K37" s="37"/>
      <c r="L37" s="26">
        <v>1</v>
      </c>
      <c r="M37" s="26"/>
      <c r="N37" s="26">
        <v>1841696.8436099996</v>
      </c>
      <c r="O37" s="96">
        <f t="shared" si="1"/>
        <v>1841696.8436099996</v>
      </c>
      <c r="P37" s="98">
        <f t="shared" si="2"/>
        <v>935450.57407894649</v>
      </c>
    </row>
    <row r="38" spans="3:16" x14ac:dyDescent="0.25">
      <c r="C38" s="26"/>
      <c r="D38" s="197">
        <v>1981</v>
      </c>
      <c r="E38" s="29">
        <v>29587</v>
      </c>
      <c r="F38" s="93" t="str">
        <f t="shared" si="0"/>
        <v>Date check - OK</v>
      </c>
      <c r="H38" s="120" t="s">
        <v>193</v>
      </c>
      <c r="I38" s="26">
        <v>160175</v>
      </c>
      <c r="J38" s="102">
        <f>IFERROR(MIN('MP Calculations'!$E$29/I38,1),"-")</f>
        <v>0.50792864054939912</v>
      </c>
      <c r="K38" s="37"/>
      <c r="L38" s="26">
        <v>1</v>
      </c>
      <c r="M38" s="26"/>
      <c r="N38" s="26">
        <v>661332.60629999987</v>
      </c>
      <c r="O38" s="96">
        <f t="shared" si="1"/>
        <v>661332.60629999987</v>
      </c>
      <c r="P38" s="98">
        <f t="shared" si="2"/>
        <v>335909.77166894992</v>
      </c>
    </row>
    <row r="39" spans="3:16" x14ac:dyDescent="0.25">
      <c r="C39" s="26"/>
      <c r="D39" s="197">
        <v>1982</v>
      </c>
      <c r="E39" s="29">
        <v>29952</v>
      </c>
      <c r="F39" s="93" t="str">
        <f t="shared" si="0"/>
        <v>Date check - OK</v>
      </c>
      <c r="H39" s="120" t="s">
        <v>193</v>
      </c>
      <c r="I39" s="26">
        <v>160175</v>
      </c>
      <c r="J39" s="102">
        <f>IFERROR(MIN('MP Calculations'!$E$29/I39,1),"-")</f>
        <v>0.50792864054939912</v>
      </c>
      <c r="K39" s="37"/>
      <c r="L39" s="26">
        <v>1</v>
      </c>
      <c r="M39" s="26"/>
      <c r="N39" s="26">
        <v>790450.90961000009</v>
      </c>
      <c r="O39" s="96">
        <f t="shared" si="1"/>
        <v>790450.90961000009</v>
      </c>
      <c r="P39" s="98">
        <f t="shared" si="2"/>
        <v>401492.65593924333</v>
      </c>
    </row>
    <row r="40" spans="3:16" x14ac:dyDescent="0.25">
      <c r="C40" s="26"/>
      <c r="D40" s="197">
        <v>1983</v>
      </c>
      <c r="E40" s="29">
        <v>30317</v>
      </c>
      <c r="F40" s="93" t="str">
        <f t="shared" si="0"/>
        <v>Date check - OK</v>
      </c>
      <c r="H40" s="120" t="s">
        <v>193</v>
      </c>
      <c r="I40" s="26">
        <v>160175</v>
      </c>
      <c r="J40" s="102">
        <f>IFERROR(MIN('MP Calculations'!$E$29/I40,1),"-")</f>
        <v>0.50792864054939912</v>
      </c>
      <c r="K40" s="37"/>
      <c r="L40" s="26">
        <v>1</v>
      </c>
      <c r="M40" s="26"/>
      <c r="N40" s="26">
        <v>965435.02108000009</v>
      </c>
      <c r="O40" s="96">
        <f t="shared" si="1"/>
        <v>965435.02108000009</v>
      </c>
      <c r="P40" s="98">
        <f t="shared" si="2"/>
        <v>490372.09779594495</v>
      </c>
    </row>
    <row r="41" spans="3:16" x14ac:dyDescent="0.25">
      <c r="C41" s="26"/>
      <c r="D41" s="197">
        <v>1984</v>
      </c>
      <c r="E41" s="29">
        <v>30682</v>
      </c>
      <c r="F41" s="93" t="str">
        <f t="shared" si="0"/>
        <v>Date check - OK</v>
      </c>
      <c r="H41" s="120" t="s">
        <v>193</v>
      </c>
      <c r="I41" s="26">
        <v>160175</v>
      </c>
      <c r="J41" s="102">
        <f>IFERROR(MIN('MP Calculations'!$E$29/I41,1),"-")</f>
        <v>0.50792864054939912</v>
      </c>
      <c r="K41" s="37"/>
      <c r="L41" s="26">
        <v>1</v>
      </c>
      <c r="M41" s="26"/>
      <c r="N41" s="26">
        <v>833514.85687000037</v>
      </c>
      <c r="O41" s="96">
        <f t="shared" si="1"/>
        <v>833514.85687000037</v>
      </c>
      <c r="P41" s="98">
        <f t="shared" si="2"/>
        <v>423366.0681277063</v>
      </c>
    </row>
    <row r="42" spans="3:16" x14ac:dyDescent="0.25">
      <c r="C42" s="26"/>
      <c r="D42" s="197">
        <v>1985</v>
      </c>
      <c r="E42" s="29">
        <v>31048</v>
      </c>
      <c r="F42" s="93" t="str">
        <f t="shared" si="0"/>
        <v>Date check - OK</v>
      </c>
      <c r="H42" s="120" t="s">
        <v>193</v>
      </c>
      <c r="I42" s="26">
        <v>160175</v>
      </c>
      <c r="J42" s="102">
        <f>IFERROR(MIN('MP Calculations'!$E$29/I42,1),"-")</f>
        <v>0.50792864054939912</v>
      </c>
      <c r="K42" s="37"/>
      <c r="L42" s="26">
        <v>1</v>
      </c>
      <c r="M42" s="26"/>
      <c r="N42" s="26">
        <v>994974.38504000043</v>
      </c>
      <c r="O42" s="96">
        <f t="shared" si="1"/>
        <v>994974.38504000043</v>
      </c>
      <c r="P42" s="98">
        <f t="shared" si="2"/>
        <v>505375.98677484185</v>
      </c>
    </row>
    <row r="43" spans="3:16" x14ac:dyDescent="0.25">
      <c r="C43" s="26"/>
      <c r="D43" s="197">
        <v>1986</v>
      </c>
      <c r="E43" s="29">
        <v>31413</v>
      </c>
      <c r="F43" s="93" t="str">
        <f t="shared" si="0"/>
        <v>Date check - OK</v>
      </c>
      <c r="H43" s="120" t="s">
        <v>193</v>
      </c>
      <c r="I43" s="26">
        <v>160175</v>
      </c>
      <c r="J43" s="102">
        <f>IFERROR(MIN('MP Calculations'!$E$29/I43,1),"-")</f>
        <v>0.50792864054939912</v>
      </c>
      <c r="K43" s="37"/>
      <c r="L43" s="26">
        <v>1</v>
      </c>
      <c r="M43" s="26"/>
      <c r="N43" s="26">
        <v>1555967.04391</v>
      </c>
      <c r="O43" s="96">
        <f t="shared" si="1"/>
        <v>1555967.04391</v>
      </c>
      <c r="P43" s="98">
        <f t="shared" si="2"/>
        <v>790320.22535287356</v>
      </c>
    </row>
    <row r="44" spans="3:16" x14ac:dyDescent="0.25">
      <c r="C44" s="26"/>
      <c r="D44" s="197">
        <v>1987</v>
      </c>
      <c r="E44" s="29">
        <v>31778</v>
      </c>
      <c r="F44" s="93" t="str">
        <f t="shared" si="0"/>
        <v>Date check - OK</v>
      </c>
      <c r="H44" s="120" t="s">
        <v>193</v>
      </c>
      <c r="I44" s="26">
        <v>160175</v>
      </c>
      <c r="J44" s="102">
        <f>IFERROR(MIN('MP Calculations'!$E$29/I44,1),"-")</f>
        <v>0.50792864054939912</v>
      </c>
      <c r="K44" s="37"/>
      <c r="L44" s="26">
        <v>1</v>
      </c>
      <c r="M44" s="26"/>
      <c r="N44" s="26">
        <v>1074826.8216200001</v>
      </c>
      <c r="O44" s="96">
        <f t="shared" si="1"/>
        <v>1074826.8216200001</v>
      </c>
      <c r="P44" s="98">
        <f t="shared" si="2"/>
        <v>545935.32633147819</v>
      </c>
    </row>
    <row r="45" spans="3:16" x14ac:dyDescent="0.25">
      <c r="C45" s="26"/>
      <c r="D45" s="197">
        <v>1988</v>
      </c>
      <c r="E45" s="29">
        <v>32143</v>
      </c>
      <c r="F45" s="93" t="str">
        <f t="shared" si="0"/>
        <v>Date check - OK</v>
      </c>
      <c r="H45" s="120" t="s">
        <v>193</v>
      </c>
      <c r="I45" s="26">
        <v>160175</v>
      </c>
      <c r="J45" s="102">
        <f>IFERROR(MIN('MP Calculations'!$E$29/I45,1),"-")</f>
        <v>0.50792864054939912</v>
      </c>
      <c r="K45" s="37"/>
      <c r="L45" s="26">
        <v>1</v>
      </c>
      <c r="M45" s="26"/>
      <c r="N45" s="26">
        <v>1832418.2057199995</v>
      </c>
      <c r="O45" s="96">
        <f t="shared" si="1"/>
        <v>1832418.2057199995</v>
      </c>
      <c r="P45" s="98">
        <f t="shared" si="2"/>
        <v>930737.68814932858</v>
      </c>
    </row>
    <row r="46" spans="3:16" x14ac:dyDescent="0.25">
      <c r="C46" s="26"/>
      <c r="D46" s="197">
        <v>1989</v>
      </c>
      <c r="E46" s="29">
        <v>32509</v>
      </c>
      <c r="F46" s="93" t="str">
        <f t="shared" si="0"/>
        <v>Date check - OK</v>
      </c>
      <c r="H46" s="120" t="s">
        <v>193</v>
      </c>
      <c r="I46" s="26">
        <v>160175</v>
      </c>
      <c r="J46" s="102">
        <f>IFERROR(MIN('MP Calculations'!$E$29/I46,1),"-")</f>
        <v>0.50792864054939912</v>
      </c>
      <c r="K46" s="37"/>
      <c r="L46" s="26">
        <v>1</v>
      </c>
      <c r="M46" s="26"/>
      <c r="N46" s="26">
        <v>431141.19897999987</v>
      </c>
      <c r="O46" s="96">
        <f t="shared" si="1"/>
        <v>431141.19897999987</v>
      </c>
      <c r="P46" s="98">
        <f t="shared" si="2"/>
        <v>218988.96308274931</v>
      </c>
    </row>
    <row r="47" spans="3:16" x14ac:dyDescent="0.25">
      <c r="C47" s="26"/>
      <c r="D47" s="197">
        <v>1990</v>
      </c>
      <c r="E47" s="29">
        <v>32874</v>
      </c>
      <c r="F47" s="93" t="str">
        <f t="shared" si="0"/>
        <v>Date check - OK</v>
      </c>
      <c r="H47" s="120" t="s">
        <v>193</v>
      </c>
      <c r="I47" s="26">
        <v>160175</v>
      </c>
      <c r="J47" s="102">
        <f>IFERROR(MIN('MP Calculations'!$E$29/I47,1),"-")</f>
        <v>0.50792864054939912</v>
      </c>
      <c r="K47" s="37"/>
      <c r="L47" s="26">
        <v>1</v>
      </c>
      <c r="M47" s="26"/>
      <c r="N47" s="26">
        <v>2725806.3044699994</v>
      </c>
      <c r="O47" s="96">
        <f t="shared" si="1"/>
        <v>2725806.3044699994</v>
      </c>
      <c r="P47" s="98">
        <f t="shared" si="2"/>
        <v>1384515.0906304284</v>
      </c>
    </row>
    <row r="48" spans="3:16" x14ac:dyDescent="0.25">
      <c r="C48" s="26"/>
      <c r="D48" s="197">
        <v>1991</v>
      </c>
      <c r="E48" s="29">
        <v>33239</v>
      </c>
      <c r="F48" s="93" t="str">
        <f t="shared" si="0"/>
        <v>Date check - OK</v>
      </c>
      <c r="H48" s="120" t="s">
        <v>193</v>
      </c>
      <c r="I48" s="26">
        <v>160175</v>
      </c>
      <c r="J48" s="102">
        <f>IFERROR(MIN('MP Calculations'!$E$29/I48,1),"-")</f>
        <v>0.50792864054939912</v>
      </c>
      <c r="K48" s="37"/>
      <c r="L48" s="26">
        <v>1</v>
      </c>
      <c r="M48" s="26"/>
      <c r="N48" s="26">
        <v>1110491.4346</v>
      </c>
      <c r="O48" s="96">
        <f t="shared" si="1"/>
        <v>1110491.4346</v>
      </c>
      <c r="P48" s="98">
        <f t="shared" si="2"/>
        <v>564050.40471813001</v>
      </c>
    </row>
    <row r="49" spans="3:16" x14ac:dyDescent="0.25">
      <c r="C49" s="26"/>
      <c r="D49" s="197">
        <v>1992</v>
      </c>
      <c r="E49" s="29">
        <v>33604</v>
      </c>
      <c r="F49" s="93" t="str">
        <f t="shared" si="0"/>
        <v>Date check - OK</v>
      </c>
      <c r="H49" s="120" t="s">
        <v>193</v>
      </c>
      <c r="I49" s="26">
        <v>160175</v>
      </c>
      <c r="J49" s="102">
        <f>IFERROR(MIN('MP Calculations'!$E$29/I49,1),"-")</f>
        <v>0.50792864054939912</v>
      </c>
      <c r="K49" s="37"/>
      <c r="L49" s="26">
        <v>1</v>
      </c>
      <c r="M49" s="26"/>
      <c r="N49" s="26">
        <v>824567.63080999965</v>
      </c>
      <c r="O49" s="96">
        <f t="shared" si="1"/>
        <v>824567.63080999965</v>
      </c>
      <c r="P49" s="98">
        <f t="shared" si="2"/>
        <v>418821.51575836196</v>
      </c>
    </row>
    <row r="50" spans="3:16" x14ac:dyDescent="0.25">
      <c r="C50" s="26"/>
      <c r="D50" s="197">
        <v>1993</v>
      </c>
      <c r="E50" s="29">
        <v>33970</v>
      </c>
      <c r="F50" s="93" t="str">
        <f t="shared" si="0"/>
        <v>Date check - OK</v>
      </c>
      <c r="H50" s="120" t="s">
        <v>193</v>
      </c>
      <c r="I50" s="26">
        <v>160175</v>
      </c>
      <c r="J50" s="102">
        <f>IFERROR(MIN('MP Calculations'!$E$29/I50,1),"-")</f>
        <v>0.50792864054939912</v>
      </c>
      <c r="K50" s="37"/>
      <c r="L50" s="26">
        <v>1</v>
      </c>
      <c r="M50" s="26"/>
      <c r="N50" s="26">
        <v>1304642.1916499999</v>
      </c>
      <c r="O50" s="96">
        <f t="shared" si="1"/>
        <v>1304642.1916499999</v>
      </c>
      <c r="P50" s="98">
        <f t="shared" si="2"/>
        <v>662665.13480817305</v>
      </c>
    </row>
    <row r="51" spans="3:16" x14ac:dyDescent="0.25">
      <c r="C51" s="26"/>
      <c r="D51" s="197">
        <v>1994</v>
      </c>
      <c r="E51" s="29">
        <v>34335</v>
      </c>
      <c r="F51" s="93" t="str">
        <f t="shared" si="0"/>
        <v>Date check - OK</v>
      </c>
      <c r="H51" s="120" t="s">
        <v>193</v>
      </c>
      <c r="I51" s="26">
        <v>160175</v>
      </c>
      <c r="J51" s="102">
        <f>IFERROR(MIN('MP Calculations'!$E$29/I51,1),"-")</f>
        <v>0.50792864054939912</v>
      </c>
      <c r="K51" s="37"/>
      <c r="L51" s="26">
        <v>1</v>
      </c>
      <c r="M51" s="26"/>
      <c r="N51" s="26">
        <v>820594.06255999987</v>
      </c>
      <c r="O51" s="96">
        <f t="shared" si="1"/>
        <v>820594.06255999987</v>
      </c>
      <c r="P51" s="98">
        <f t="shared" si="2"/>
        <v>416803.22663900931</v>
      </c>
    </row>
    <row r="52" spans="3:16" x14ac:dyDescent="0.25">
      <c r="C52" s="26"/>
      <c r="D52" s="197">
        <v>1995</v>
      </c>
      <c r="E52" s="29">
        <v>34700</v>
      </c>
      <c r="F52" s="93" t="str">
        <f t="shared" si="0"/>
        <v>Date check - OK</v>
      </c>
      <c r="H52" s="120" t="s">
        <v>193</v>
      </c>
      <c r="I52" s="26">
        <v>160175</v>
      </c>
      <c r="J52" s="102">
        <f>IFERROR(MIN('MP Calculations'!$E$29/I52,1),"-")</f>
        <v>0.50792864054939912</v>
      </c>
      <c r="K52" s="37"/>
      <c r="L52" s="26">
        <v>1</v>
      </c>
      <c r="M52" s="26"/>
      <c r="N52" s="26">
        <v>1162407.8392499997</v>
      </c>
      <c r="O52" s="96">
        <f t="shared" si="1"/>
        <v>1162407.8392499997</v>
      </c>
      <c r="P52" s="98">
        <f t="shared" si="2"/>
        <v>590420.2335542168</v>
      </c>
    </row>
    <row r="53" spans="3:16" x14ac:dyDescent="0.25">
      <c r="C53" s="26"/>
      <c r="D53" s="116"/>
      <c r="E53" s="29"/>
      <c r="F53" s="93" t="str">
        <f t="shared" si="0"/>
        <v>-</v>
      </c>
      <c r="H53" s="120"/>
      <c r="I53" s="26"/>
      <c r="J53" s="102" t="str">
        <f>IFERROR(MIN('MP Calculations'!$E$29/I53,1),"-")</f>
        <v>-</v>
      </c>
      <c r="K53" s="37"/>
      <c r="L53" s="26"/>
      <c r="M53" s="26"/>
      <c r="N53" s="26"/>
      <c r="O53" s="96" t="str">
        <f t="shared" si="1"/>
        <v>-</v>
      </c>
      <c r="P53" s="98" t="str">
        <f t="shared" si="2"/>
        <v>-</v>
      </c>
    </row>
    <row r="54" spans="3:16" x14ac:dyDescent="0.25">
      <c r="C54" s="26"/>
      <c r="D54" s="196" t="s">
        <v>202</v>
      </c>
      <c r="E54" s="29"/>
      <c r="F54" s="93" t="str">
        <f t="shared" si="0"/>
        <v>-</v>
      </c>
      <c r="H54" s="120"/>
      <c r="I54" s="26"/>
      <c r="J54" s="102" t="str">
        <f>IFERROR(MIN('MP Calculations'!$E$29/I54,1),"-")</f>
        <v>-</v>
      </c>
      <c r="K54" s="37"/>
      <c r="L54" s="26"/>
      <c r="M54" s="26"/>
      <c r="N54" s="26"/>
      <c r="O54" s="96" t="str">
        <f t="shared" si="1"/>
        <v>-</v>
      </c>
      <c r="P54" s="98" t="str">
        <f t="shared" si="2"/>
        <v>-</v>
      </c>
    </row>
    <row r="55" spans="3:16" x14ac:dyDescent="0.25">
      <c r="C55" s="26"/>
      <c r="D55" s="197">
        <v>1970</v>
      </c>
      <c r="E55" s="29">
        <v>25569</v>
      </c>
      <c r="F55" s="93" t="str">
        <f t="shared" si="0"/>
        <v>Date check - OK</v>
      </c>
      <c r="H55" s="120" t="s">
        <v>193</v>
      </c>
      <c r="I55" s="26">
        <v>160175</v>
      </c>
      <c r="J55" s="102">
        <f>IFERROR(MIN('MP Calculations'!$E$29/I55,1),"-")</f>
        <v>0.50792864054939912</v>
      </c>
      <c r="K55" s="37"/>
      <c r="L55" s="26">
        <v>1</v>
      </c>
      <c r="M55" s="26"/>
      <c r="N55" s="26">
        <v>172941.81878</v>
      </c>
      <c r="O55" s="96">
        <f t="shared" si="1"/>
        <v>172941.81878</v>
      </c>
      <c r="P55" s="98">
        <f t="shared" si="2"/>
        <v>87842.102907065942</v>
      </c>
    </row>
    <row r="56" spans="3:16" x14ac:dyDescent="0.25">
      <c r="C56" s="26"/>
      <c r="D56" s="197">
        <v>1972</v>
      </c>
      <c r="E56" s="29">
        <v>26299</v>
      </c>
      <c r="F56" s="93" t="str">
        <f t="shared" si="0"/>
        <v>Date check - OK</v>
      </c>
      <c r="H56" s="120" t="s">
        <v>193</v>
      </c>
      <c r="I56" s="26">
        <v>160175</v>
      </c>
      <c r="J56" s="102">
        <f>IFERROR(MIN('MP Calculations'!$E$29/I56,1),"-")</f>
        <v>0.50792864054939912</v>
      </c>
      <c r="K56" s="37"/>
      <c r="L56" s="26">
        <v>1</v>
      </c>
      <c r="M56" s="26"/>
      <c r="N56" s="26">
        <v>2172264.0269499999</v>
      </c>
      <c r="O56" s="96">
        <f t="shared" si="1"/>
        <v>2172264.0269499999</v>
      </c>
      <c r="P56" s="98">
        <f t="shared" si="2"/>
        <v>1103355.1141230767</v>
      </c>
    </row>
    <row r="57" spans="3:16" x14ac:dyDescent="0.25">
      <c r="C57" s="26"/>
      <c r="D57" s="197">
        <v>1974</v>
      </c>
      <c r="E57" s="29">
        <v>27030</v>
      </c>
      <c r="F57" s="93" t="str">
        <f t="shared" si="0"/>
        <v>Date check - OK</v>
      </c>
      <c r="H57" s="120" t="s">
        <v>193</v>
      </c>
      <c r="I57" s="26">
        <v>160175</v>
      </c>
      <c r="J57" s="102">
        <f>IFERROR(MIN('MP Calculations'!$E$29/I57,1),"-")</f>
        <v>0.50792864054939912</v>
      </c>
      <c r="K57" s="37"/>
      <c r="L57" s="26">
        <v>1</v>
      </c>
      <c r="M57" s="26"/>
      <c r="N57" s="26">
        <v>3212469.7209399999</v>
      </c>
      <c r="O57" s="96">
        <f t="shared" si="1"/>
        <v>3212469.7209399999</v>
      </c>
      <c r="P57" s="98">
        <f t="shared" si="2"/>
        <v>1631705.3781631617</v>
      </c>
    </row>
    <row r="58" spans="3:16" x14ac:dyDescent="0.25">
      <c r="C58" s="26"/>
      <c r="D58" s="197">
        <v>1975</v>
      </c>
      <c r="E58" s="29">
        <v>27395</v>
      </c>
      <c r="F58" s="93" t="str">
        <f t="shared" si="0"/>
        <v>Date check - OK</v>
      </c>
      <c r="H58" s="120" t="s">
        <v>193</v>
      </c>
      <c r="I58" s="26">
        <v>160175</v>
      </c>
      <c r="J58" s="102">
        <f>IFERROR(MIN('MP Calculations'!$E$29/I58,1),"-")</f>
        <v>0.50792864054939912</v>
      </c>
      <c r="K58" s="37"/>
      <c r="L58" s="26">
        <v>1</v>
      </c>
      <c r="M58" s="26"/>
      <c r="N58" s="26">
        <v>19859546.74749</v>
      </c>
      <c r="O58" s="96">
        <f t="shared" si="1"/>
        <v>19859546.74749</v>
      </c>
      <c r="P58" s="98">
        <f t="shared" si="2"/>
        <v>10087232.581379836</v>
      </c>
    </row>
    <row r="59" spans="3:16" x14ac:dyDescent="0.25">
      <c r="C59" s="26"/>
      <c r="D59" s="197">
        <v>1976</v>
      </c>
      <c r="E59" s="29">
        <v>27760</v>
      </c>
      <c r="F59" s="93" t="str">
        <f t="shared" si="0"/>
        <v>Date check - OK</v>
      </c>
      <c r="H59" s="120" t="s">
        <v>193</v>
      </c>
      <c r="I59" s="26">
        <v>160175</v>
      </c>
      <c r="J59" s="102">
        <f>IFERROR(MIN('MP Calculations'!$E$29/I59,1),"-")</f>
        <v>0.50792864054939912</v>
      </c>
      <c r="K59" s="37"/>
      <c r="L59" s="26">
        <v>1</v>
      </c>
      <c r="M59" s="26"/>
      <c r="N59" s="26">
        <v>6155770.0600000005</v>
      </c>
      <c r="O59" s="96">
        <f t="shared" si="1"/>
        <v>6155770.0600000005</v>
      </c>
      <c r="P59" s="98">
        <f t="shared" si="2"/>
        <v>3126691.9181104936</v>
      </c>
    </row>
    <row r="60" spans="3:16" x14ac:dyDescent="0.25">
      <c r="C60" s="26"/>
      <c r="D60" s="197">
        <v>1977</v>
      </c>
      <c r="E60" s="29">
        <v>28126</v>
      </c>
      <c r="F60" s="93" t="str">
        <f t="shared" si="0"/>
        <v>Date check - OK</v>
      </c>
      <c r="H60" s="120" t="s">
        <v>193</v>
      </c>
      <c r="I60" s="26">
        <v>160175</v>
      </c>
      <c r="J60" s="102">
        <f>IFERROR(MIN('MP Calculations'!$E$29/I60,1),"-")</f>
        <v>0.50792864054939912</v>
      </c>
      <c r="K60" s="37"/>
      <c r="L60" s="26">
        <v>1</v>
      </c>
      <c r="M60" s="26"/>
      <c r="N60" s="26">
        <v>1956937.5116999999</v>
      </c>
      <c r="O60" s="96">
        <f t="shared" si="1"/>
        <v>1956937.5116999999</v>
      </c>
      <c r="P60" s="98">
        <f t="shared" si="2"/>
        <v>993984.60995790479</v>
      </c>
    </row>
    <row r="61" spans="3:16" x14ac:dyDescent="0.25">
      <c r="C61" s="26"/>
      <c r="D61" s="197">
        <v>1978</v>
      </c>
      <c r="E61" s="29">
        <v>28491</v>
      </c>
      <c r="F61" s="93" t="str">
        <f t="shared" si="0"/>
        <v>Date check - OK</v>
      </c>
      <c r="H61" s="120" t="s">
        <v>193</v>
      </c>
      <c r="I61" s="26">
        <v>160175</v>
      </c>
      <c r="J61" s="102">
        <f>IFERROR(MIN('MP Calculations'!$E$29/I61,1),"-")</f>
        <v>0.50792864054939912</v>
      </c>
      <c r="K61" s="37"/>
      <c r="L61" s="26">
        <v>1</v>
      </c>
      <c r="M61" s="26"/>
      <c r="N61" s="26">
        <v>14785226.354079995</v>
      </c>
      <c r="O61" s="96">
        <f t="shared" si="1"/>
        <v>14785226.354079995</v>
      </c>
      <c r="P61" s="98">
        <f t="shared" si="2"/>
        <v>7509839.9222430009</v>
      </c>
    </row>
    <row r="62" spans="3:16" x14ac:dyDescent="0.25">
      <c r="C62" s="26"/>
      <c r="D62" s="197">
        <v>1980</v>
      </c>
      <c r="E62" s="29">
        <v>29221</v>
      </c>
      <c r="F62" s="93" t="str">
        <f t="shared" si="0"/>
        <v>Date check - OK</v>
      </c>
      <c r="H62" s="120" t="s">
        <v>193</v>
      </c>
      <c r="I62" s="26">
        <v>160175</v>
      </c>
      <c r="J62" s="102">
        <f>IFERROR(MIN('MP Calculations'!$E$29/I62,1),"-")</f>
        <v>0.50792864054939912</v>
      </c>
      <c r="K62" s="37"/>
      <c r="L62" s="26">
        <v>1</v>
      </c>
      <c r="M62" s="26"/>
      <c r="N62" s="26">
        <v>15588.326899999998</v>
      </c>
      <c r="O62" s="96">
        <f t="shared" si="1"/>
        <v>15588.326899999998</v>
      </c>
      <c r="P62" s="98">
        <f t="shared" si="2"/>
        <v>7917.7576907566281</v>
      </c>
    </row>
    <row r="63" spans="3:16" x14ac:dyDescent="0.25">
      <c r="C63" s="26"/>
      <c r="D63" s="197">
        <v>1981</v>
      </c>
      <c r="E63" s="29">
        <v>29587</v>
      </c>
      <c r="F63" s="93" t="str">
        <f t="shared" si="0"/>
        <v>Date check - OK</v>
      </c>
      <c r="H63" s="120" t="s">
        <v>193</v>
      </c>
      <c r="I63" s="26">
        <v>160175</v>
      </c>
      <c r="J63" s="102">
        <f>IFERROR(MIN('MP Calculations'!$E$29/I63,1),"-")</f>
        <v>0.50792864054939912</v>
      </c>
      <c r="K63" s="37"/>
      <c r="L63" s="26">
        <v>1</v>
      </c>
      <c r="M63" s="26"/>
      <c r="N63" s="26">
        <v>2168050.79917</v>
      </c>
      <c r="O63" s="96">
        <f t="shared" si="1"/>
        <v>2168050.79917</v>
      </c>
      <c r="P63" s="98">
        <f t="shared" si="2"/>
        <v>1101215.0950644563</v>
      </c>
    </row>
    <row r="64" spans="3:16" x14ac:dyDescent="0.25">
      <c r="C64" s="26"/>
      <c r="D64" s="197">
        <v>1982</v>
      </c>
      <c r="E64" s="29">
        <v>29952</v>
      </c>
      <c r="F64" s="93" t="str">
        <f t="shared" si="0"/>
        <v>Date check - OK</v>
      </c>
      <c r="H64" s="120" t="s">
        <v>193</v>
      </c>
      <c r="I64" s="26">
        <v>160175</v>
      </c>
      <c r="J64" s="102">
        <f>IFERROR(MIN('MP Calculations'!$E$29/I64,1),"-")</f>
        <v>0.50792864054939912</v>
      </c>
      <c r="K64" s="37"/>
      <c r="L64" s="26">
        <v>1</v>
      </c>
      <c r="M64" s="26"/>
      <c r="N64" s="26">
        <v>11165276.733789995</v>
      </c>
      <c r="O64" s="96">
        <f t="shared" si="1"/>
        <v>11165276.733789995</v>
      </c>
      <c r="P64" s="98">
        <f t="shared" si="2"/>
        <v>5671163.8327517873</v>
      </c>
    </row>
    <row r="65" spans="3:16" x14ac:dyDescent="0.25">
      <c r="C65" s="26"/>
      <c r="D65" s="197">
        <v>1984</v>
      </c>
      <c r="E65" s="29">
        <v>30682</v>
      </c>
      <c r="F65" s="93" t="str">
        <f t="shared" si="0"/>
        <v>Date check - OK</v>
      </c>
      <c r="H65" s="120" t="s">
        <v>193</v>
      </c>
      <c r="I65" s="26">
        <v>160175</v>
      </c>
      <c r="J65" s="102">
        <f>IFERROR(MIN('MP Calculations'!$E$29/I65,1),"-")</f>
        <v>0.50792864054939912</v>
      </c>
      <c r="K65" s="37"/>
      <c r="L65" s="26">
        <v>1</v>
      </c>
      <c r="M65" s="26"/>
      <c r="N65" s="26">
        <v>1643898.74871</v>
      </c>
      <c r="O65" s="96">
        <f t="shared" si="1"/>
        <v>1643898.74871</v>
      </c>
      <c r="P65" s="98">
        <f t="shared" si="2"/>
        <v>834983.25663312862</v>
      </c>
    </row>
    <row r="66" spans="3:16" x14ac:dyDescent="0.25">
      <c r="C66" s="26"/>
      <c r="D66" s="197">
        <v>1985</v>
      </c>
      <c r="E66" s="29">
        <v>31048</v>
      </c>
      <c r="F66" s="93" t="str">
        <f t="shared" si="0"/>
        <v>Date check - OK</v>
      </c>
      <c r="H66" s="120" t="s">
        <v>193</v>
      </c>
      <c r="I66" s="26">
        <v>160175</v>
      </c>
      <c r="J66" s="102">
        <f>IFERROR(MIN('MP Calculations'!$E$29/I66,1),"-")</f>
        <v>0.50792864054939912</v>
      </c>
      <c r="K66" s="37"/>
      <c r="L66" s="26">
        <v>1</v>
      </c>
      <c r="M66" s="26"/>
      <c r="N66" s="26">
        <v>3145201.8637699988</v>
      </c>
      <c r="O66" s="96">
        <f t="shared" si="1"/>
        <v>3145201.8637699988</v>
      </c>
      <c r="P66" s="98">
        <f t="shared" si="2"/>
        <v>1597538.1069181319</v>
      </c>
    </row>
    <row r="67" spans="3:16" x14ac:dyDescent="0.25">
      <c r="C67" s="26"/>
      <c r="D67" s="197">
        <v>1986</v>
      </c>
      <c r="E67" s="29">
        <v>31413</v>
      </c>
      <c r="F67" s="93" t="str">
        <f t="shared" si="0"/>
        <v>Date check - OK</v>
      </c>
      <c r="H67" s="120" t="s">
        <v>193</v>
      </c>
      <c r="I67" s="26">
        <v>160175</v>
      </c>
      <c r="J67" s="102">
        <f>IFERROR(MIN('MP Calculations'!$E$29/I67,1),"-")</f>
        <v>0.50792864054939912</v>
      </c>
      <c r="K67" s="37"/>
      <c r="L67" s="26">
        <v>1</v>
      </c>
      <c r="M67" s="26"/>
      <c r="N67" s="26">
        <v>952927.13313999993</v>
      </c>
      <c r="O67" s="96">
        <f t="shared" si="1"/>
        <v>952927.13313999993</v>
      </c>
      <c r="P67" s="98">
        <f t="shared" si="2"/>
        <v>484018.98327843641</v>
      </c>
    </row>
    <row r="68" spans="3:16" x14ac:dyDescent="0.25">
      <c r="C68" s="26"/>
      <c r="D68" s="197">
        <v>1989</v>
      </c>
      <c r="E68" s="29">
        <v>32509</v>
      </c>
      <c r="F68" s="93" t="str">
        <f t="shared" si="0"/>
        <v>Date check - OK</v>
      </c>
      <c r="H68" s="120" t="s">
        <v>193</v>
      </c>
      <c r="I68" s="26">
        <v>160175</v>
      </c>
      <c r="J68" s="102">
        <f>IFERROR(MIN('MP Calculations'!$E$29/I68,1),"-")</f>
        <v>0.50792864054939912</v>
      </c>
      <c r="K68" s="37"/>
      <c r="L68" s="26">
        <v>1</v>
      </c>
      <c r="M68" s="26"/>
      <c r="N68" s="26">
        <v>1032410.11169</v>
      </c>
      <c r="O68" s="96">
        <f t="shared" si="1"/>
        <v>1032410.11169</v>
      </c>
      <c r="P68" s="98">
        <f t="shared" si="2"/>
        <v>524390.66452015506</v>
      </c>
    </row>
    <row r="69" spans="3:16" x14ac:dyDescent="0.25">
      <c r="C69" s="26"/>
      <c r="D69" s="197">
        <v>1990</v>
      </c>
      <c r="E69" s="29">
        <v>32874</v>
      </c>
      <c r="F69" s="93" t="str">
        <f t="shared" si="0"/>
        <v>Date check - OK</v>
      </c>
      <c r="H69" s="120" t="s">
        <v>193</v>
      </c>
      <c r="I69" s="26">
        <v>160175</v>
      </c>
      <c r="J69" s="102">
        <f>IFERROR(MIN('MP Calculations'!$E$29/I69,1),"-")</f>
        <v>0.50792864054939912</v>
      </c>
      <c r="K69" s="37"/>
      <c r="L69" s="26">
        <v>1</v>
      </c>
      <c r="M69" s="26"/>
      <c r="N69" s="26">
        <v>380717.76085000002</v>
      </c>
      <c r="O69" s="96">
        <f t="shared" si="1"/>
        <v>380717.76085000002</v>
      </c>
      <c r="P69" s="98">
        <f t="shared" si="2"/>
        <v>193377.45470155176</v>
      </c>
    </row>
    <row r="70" spans="3:16" x14ac:dyDescent="0.25">
      <c r="C70" s="26"/>
      <c r="D70" s="197">
        <v>1992</v>
      </c>
      <c r="E70" s="29">
        <v>33604</v>
      </c>
      <c r="F70" s="93" t="str">
        <f t="shared" si="0"/>
        <v>Date check - OK</v>
      </c>
      <c r="H70" s="120" t="s">
        <v>193</v>
      </c>
      <c r="I70" s="26">
        <v>160175</v>
      </c>
      <c r="J70" s="102">
        <f>IFERROR(MIN('MP Calculations'!$E$29/I70,1),"-")</f>
        <v>0.50792864054939912</v>
      </c>
      <c r="K70" s="37"/>
      <c r="L70" s="26">
        <v>1</v>
      </c>
      <c r="M70" s="26"/>
      <c r="N70" s="26">
        <v>1080701.6804</v>
      </c>
      <c r="O70" s="96">
        <f t="shared" si="1"/>
        <v>1080701.6804</v>
      </c>
      <c r="P70" s="98">
        <f t="shared" si="2"/>
        <v>548919.33536502323</v>
      </c>
    </row>
    <row r="71" spans="3:16" x14ac:dyDescent="0.25">
      <c r="C71" s="26"/>
      <c r="D71" s="197">
        <v>1993</v>
      </c>
      <c r="E71" s="29">
        <v>33970</v>
      </c>
      <c r="F71" s="93" t="str">
        <f t="shared" si="0"/>
        <v>Date check - OK</v>
      </c>
      <c r="H71" s="120" t="s">
        <v>193</v>
      </c>
      <c r="I71" s="26">
        <v>160175</v>
      </c>
      <c r="J71" s="102">
        <f>IFERROR(MIN('MP Calculations'!$E$29/I71,1),"-")</f>
        <v>0.50792864054939912</v>
      </c>
      <c r="K71" s="37"/>
      <c r="L71" s="26">
        <v>1</v>
      </c>
      <c r="M71" s="26"/>
      <c r="N71" s="26">
        <v>2596845.4724899996</v>
      </c>
      <c r="O71" s="96">
        <f t="shared" si="1"/>
        <v>2596845.4724899996</v>
      </c>
      <c r="P71" s="98">
        <f t="shared" si="2"/>
        <v>1319012.1905587076</v>
      </c>
    </row>
    <row r="72" spans="3:16" x14ac:dyDescent="0.25">
      <c r="C72" s="26"/>
      <c r="D72" s="197">
        <v>1994</v>
      </c>
      <c r="E72" s="29">
        <v>34335</v>
      </c>
      <c r="F72" s="93" t="str">
        <f t="shared" si="0"/>
        <v>Date check - OK</v>
      </c>
      <c r="H72" s="120" t="s">
        <v>193</v>
      </c>
      <c r="I72" s="26">
        <v>160175</v>
      </c>
      <c r="J72" s="102">
        <f>IFERROR(MIN('MP Calculations'!$E$29/I72,1),"-")</f>
        <v>0.50792864054939912</v>
      </c>
      <c r="K72" s="37"/>
      <c r="L72" s="26">
        <v>1</v>
      </c>
      <c r="M72" s="26"/>
      <c r="N72" s="26">
        <v>1589318.1116099998</v>
      </c>
      <c r="O72" s="96">
        <f t="shared" si="1"/>
        <v>1589318.1116099998</v>
      </c>
      <c r="P72" s="98">
        <f t="shared" si="2"/>
        <v>807260.18783060543</v>
      </c>
    </row>
    <row r="73" spans="3:16" x14ac:dyDescent="0.25">
      <c r="C73" s="26"/>
      <c r="D73" s="197">
        <v>1995</v>
      </c>
      <c r="E73" s="29">
        <v>34700</v>
      </c>
      <c r="F73" s="93" t="str">
        <f t="shared" si="0"/>
        <v>Date check - OK</v>
      </c>
      <c r="H73" s="120" t="s">
        <v>193</v>
      </c>
      <c r="I73" s="26">
        <v>160175</v>
      </c>
      <c r="J73" s="102">
        <f>IFERROR(MIN('MP Calculations'!$E$29/I73,1),"-")</f>
        <v>0.50792864054939912</v>
      </c>
      <c r="K73" s="37"/>
      <c r="L73" s="26">
        <v>1</v>
      </c>
      <c r="M73" s="26"/>
      <c r="N73" s="26">
        <v>689888.04507999972</v>
      </c>
      <c r="O73" s="96">
        <f t="shared" si="1"/>
        <v>689888.04507999972</v>
      </c>
      <c r="P73" s="98">
        <f t="shared" si="2"/>
        <v>350413.89686876681</v>
      </c>
    </row>
    <row r="74" spans="3:16" x14ac:dyDescent="0.25">
      <c r="C74" s="26"/>
      <c r="D74" s="116"/>
      <c r="E74" s="29"/>
      <c r="F74" s="93" t="str">
        <f t="shared" si="0"/>
        <v>-</v>
      </c>
      <c r="H74" s="120"/>
      <c r="I74" s="26"/>
      <c r="J74" s="102" t="str">
        <f>IFERROR(MIN('MP Calculations'!$E$29/I74,1),"-")</f>
        <v>-</v>
      </c>
      <c r="K74" s="37"/>
      <c r="L74" s="26"/>
      <c r="M74" s="26"/>
      <c r="N74" s="26"/>
      <c r="O74" s="96" t="str">
        <f t="shared" si="1"/>
        <v>-</v>
      </c>
      <c r="P74" s="98" t="str">
        <f t="shared" si="2"/>
        <v>-</v>
      </c>
    </row>
    <row r="75" spans="3:16" x14ac:dyDescent="0.25">
      <c r="C75" s="26"/>
      <c r="D75" s="196" t="s">
        <v>203</v>
      </c>
      <c r="E75" s="29"/>
      <c r="F75" s="93" t="str">
        <f t="shared" si="0"/>
        <v>-</v>
      </c>
      <c r="H75" s="120"/>
      <c r="I75" s="26"/>
      <c r="J75" s="102" t="str">
        <f>IFERROR(MIN('MP Calculations'!$E$29/I75,1),"-")</f>
        <v>-</v>
      </c>
      <c r="K75" s="37"/>
      <c r="L75" s="26"/>
      <c r="M75" s="26"/>
      <c r="N75" s="26"/>
      <c r="O75" s="96" t="str">
        <f t="shared" si="1"/>
        <v>-</v>
      </c>
      <c r="P75" s="98" t="str">
        <f t="shared" si="2"/>
        <v>-</v>
      </c>
    </row>
    <row r="76" spans="3:16" x14ac:dyDescent="0.25">
      <c r="C76" s="26"/>
      <c r="D76" s="197">
        <v>1985</v>
      </c>
      <c r="E76" s="29">
        <v>31048</v>
      </c>
      <c r="F76" s="93" t="str">
        <f t="shared" si="0"/>
        <v>Date check - OK</v>
      </c>
      <c r="H76" s="120" t="s">
        <v>193</v>
      </c>
      <c r="I76" s="26">
        <v>160175</v>
      </c>
      <c r="J76" s="102">
        <f>IFERROR(MIN('MP Calculations'!$E$29/I76,1),"-")</f>
        <v>0.50792864054939912</v>
      </c>
      <c r="K76" s="37"/>
      <c r="L76" s="26">
        <v>1</v>
      </c>
      <c r="M76" s="26"/>
      <c r="N76" s="26">
        <v>322308.90879999998</v>
      </c>
      <c r="O76" s="96">
        <f t="shared" si="1"/>
        <v>322308.90879999998</v>
      </c>
      <c r="P76" s="98">
        <f t="shared" si="2"/>
        <v>163709.92588374426</v>
      </c>
    </row>
    <row r="77" spans="3:16" x14ac:dyDescent="0.25">
      <c r="C77" s="26"/>
      <c r="D77" s="197">
        <v>1987</v>
      </c>
      <c r="E77" s="29">
        <v>31778</v>
      </c>
      <c r="F77" s="93" t="str">
        <f t="shared" si="0"/>
        <v>Date check - OK</v>
      </c>
      <c r="H77" s="120" t="s">
        <v>193</v>
      </c>
      <c r="I77" s="26">
        <v>160175</v>
      </c>
      <c r="J77" s="102">
        <f>IFERROR(MIN('MP Calculations'!$E$29/I77,1),"-")</f>
        <v>0.50792864054939912</v>
      </c>
      <c r="K77" s="37"/>
      <c r="L77" s="26">
        <v>1</v>
      </c>
      <c r="M77" s="26"/>
      <c r="N77" s="26">
        <v>223760.12811999998</v>
      </c>
      <c r="O77" s="96">
        <f t="shared" si="1"/>
        <v>223760.12811999998</v>
      </c>
      <c r="P77" s="98">
        <f t="shared" si="2"/>
        <v>113654.17768515096</v>
      </c>
    </row>
    <row r="78" spans="3:16" x14ac:dyDescent="0.25">
      <c r="C78" s="26"/>
      <c r="D78" s="197">
        <v>1993</v>
      </c>
      <c r="E78" s="29">
        <v>33970</v>
      </c>
      <c r="F78" s="93" t="str">
        <f t="shared" si="0"/>
        <v>Date check - OK</v>
      </c>
      <c r="H78" s="120" t="s">
        <v>193</v>
      </c>
      <c r="I78" s="26">
        <v>160175</v>
      </c>
      <c r="J78" s="102">
        <f>IFERROR(MIN('MP Calculations'!$E$29/I78,1),"-")</f>
        <v>0.50792864054939912</v>
      </c>
      <c r="K78" s="37"/>
      <c r="L78" s="26">
        <v>1</v>
      </c>
      <c r="M78" s="26"/>
      <c r="N78" s="26">
        <v>130097.39388999998</v>
      </c>
      <c r="O78" s="96">
        <f t="shared" si="1"/>
        <v>130097.39388999998</v>
      </c>
      <c r="P78" s="98">
        <f t="shared" si="2"/>
        <v>66080.192417567392</v>
      </c>
    </row>
    <row r="79" spans="3:16" x14ac:dyDescent="0.25">
      <c r="C79" s="26"/>
      <c r="D79" s="116"/>
      <c r="E79" s="29"/>
      <c r="F79" s="93" t="str">
        <f t="shared" si="0"/>
        <v>-</v>
      </c>
      <c r="H79" s="120"/>
      <c r="I79" s="26"/>
      <c r="J79" s="102" t="str">
        <f>IFERROR(MIN('MP Calculations'!$E$29/I79,1),"-")</f>
        <v>-</v>
      </c>
      <c r="K79" s="37"/>
      <c r="L79" s="26"/>
      <c r="M79" s="26"/>
      <c r="N79" s="26"/>
      <c r="O79" s="96" t="str">
        <f t="shared" si="1"/>
        <v>-</v>
      </c>
      <c r="P79" s="98" t="str">
        <f t="shared" si="2"/>
        <v>-</v>
      </c>
    </row>
    <row r="80" spans="3:16" x14ac:dyDescent="0.25">
      <c r="C80" s="26"/>
      <c r="D80" s="196" t="s">
        <v>204</v>
      </c>
      <c r="E80" s="29"/>
      <c r="F80" s="93" t="str">
        <f t="shared" si="0"/>
        <v>-</v>
      </c>
      <c r="H80" s="120"/>
      <c r="I80" s="26"/>
      <c r="J80" s="102" t="str">
        <f>IFERROR(MIN('MP Calculations'!$E$29/I80,1),"-")</f>
        <v>-</v>
      </c>
      <c r="K80" s="37"/>
      <c r="L80" s="26"/>
      <c r="M80" s="26"/>
      <c r="N80" s="26"/>
      <c r="O80" s="96" t="str">
        <f t="shared" si="1"/>
        <v>-</v>
      </c>
      <c r="P80" s="98" t="str">
        <f t="shared" si="2"/>
        <v>-</v>
      </c>
    </row>
    <row r="81" spans="3:16" x14ac:dyDescent="0.25">
      <c r="C81" s="26" t="s">
        <v>205</v>
      </c>
      <c r="D81" s="116" t="s">
        <v>206</v>
      </c>
      <c r="E81" s="29">
        <v>28491</v>
      </c>
      <c r="F81" s="93" t="str">
        <f t="shared" si="0"/>
        <v>Date check - OK</v>
      </c>
      <c r="H81" s="120" t="s">
        <v>193</v>
      </c>
      <c r="I81" s="26">
        <v>160175</v>
      </c>
      <c r="J81" s="102">
        <f>IFERROR(MIN('MP Calculations'!$E$29/I81,1),"-")</f>
        <v>0.50792864054939912</v>
      </c>
      <c r="K81" s="37"/>
      <c r="L81" s="26">
        <v>1</v>
      </c>
      <c r="M81" s="26"/>
      <c r="N81" s="26">
        <v>160867.73109000002</v>
      </c>
      <c r="O81" s="96">
        <f t="shared" si="1"/>
        <v>160867.73109000002</v>
      </c>
      <c r="P81" s="98">
        <f t="shared" si="2"/>
        <v>81709.327960810013</v>
      </c>
    </row>
    <row r="82" spans="3:16" x14ac:dyDescent="0.25">
      <c r="C82" s="26" t="s">
        <v>207</v>
      </c>
      <c r="D82" s="116" t="s">
        <v>208</v>
      </c>
      <c r="E82" s="29">
        <v>29587</v>
      </c>
      <c r="F82" s="93" t="str">
        <f t="shared" si="0"/>
        <v>Date check - OK</v>
      </c>
      <c r="H82" s="120" t="s">
        <v>193</v>
      </c>
      <c r="I82" s="26">
        <v>160175</v>
      </c>
      <c r="J82" s="102">
        <f>IFERROR(MIN('MP Calculations'!$E$29/I82,1),"-")</f>
        <v>0.50792864054939912</v>
      </c>
      <c r="K82" s="37"/>
      <c r="L82" s="26">
        <v>1</v>
      </c>
      <c r="M82" s="26"/>
      <c r="N82" s="26">
        <v>163654.05821000002</v>
      </c>
      <c r="O82" s="96">
        <f t="shared" si="1"/>
        <v>163654.05821000002</v>
      </c>
      <c r="P82" s="98">
        <f t="shared" si="2"/>
        <v>83124.583306997534</v>
      </c>
    </row>
    <row r="83" spans="3:16" x14ac:dyDescent="0.25">
      <c r="C83" s="26" t="s">
        <v>209</v>
      </c>
      <c r="D83" s="116" t="s">
        <v>210</v>
      </c>
      <c r="E83" s="29">
        <v>29587</v>
      </c>
      <c r="F83" s="93" t="str">
        <f t="shared" si="0"/>
        <v>Date check - OK</v>
      </c>
      <c r="H83" s="120" t="s">
        <v>193</v>
      </c>
      <c r="I83" s="26">
        <v>160175</v>
      </c>
      <c r="J83" s="102">
        <f>IFERROR(MIN('MP Calculations'!$E$29/I83,1),"-")</f>
        <v>0.50792864054939912</v>
      </c>
      <c r="K83" s="37"/>
      <c r="L83" s="26">
        <v>1</v>
      </c>
      <c r="M83" s="26"/>
      <c r="N83" s="26">
        <v>159275.85496000003</v>
      </c>
      <c r="O83" s="96">
        <f t="shared" ref="O83:O84" si="3">IF(N83="","-",L83*N83)</f>
        <v>159275.85496000003</v>
      </c>
      <c r="P83" s="98">
        <f t="shared" ref="P83:P84" si="4">IF(O83="-","-",IF(OR(E83&lt;$E$15,E83&gt;$E$16),0,O83*J83))</f>
        <v>80900.768482176078</v>
      </c>
    </row>
    <row r="84" spans="3:16" x14ac:dyDescent="0.25">
      <c r="C84" s="26" t="s">
        <v>211</v>
      </c>
      <c r="D84" s="116" t="s">
        <v>212</v>
      </c>
      <c r="E84" s="29">
        <v>29587</v>
      </c>
      <c r="F84" s="93" t="str">
        <f t="shared" si="0"/>
        <v>Date check - OK</v>
      </c>
      <c r="H84" s="120" t="s">
        <v>193</v>
      </c>
      <c r="I84" s="26">
        <v>160175</v>
      </c>
      <c r="J84" s="102">
        <f>IFERROR(MIN('MP Calculations'!$E$29/I84,1),"-")</f>
        <v>0.50792864054939912</v>
      </c>
      <c r="K84" s="37"/>
      <c r="L84" s="26">
        <v>1</v>
      </c>
      <c r="M84" s="26"/>
      <c r="N84" s="26">
        <v>160867.73109000002</v>
      </c>
      <c r="O84" s="96">
        <f t="shared" si="3"/>
        <v>160867.73109000002</v>
      </c>
      <c r="P84" s="98">
        <f t="shared" si="4"/>
        <v>81709.327960810013</v>
      </c>
    </row>
    <row r="85" spans="3:16" x14ac:dyDescent="0.25">
      <c r="C85" s="26" t="s">
        <v>213</v>
      </c>
      <c r="D85" s="116" t="s">
        <v>214</v>
      </c>
      <c r="E85" s="29">
        <v>29587</v>
      </c>
      <c r="F85" s="93" t="str">
        <f t="shared" si="0"/>
        <v>Date check - OK</v>
      </c>
      <c r="H85" s="120" t="s">
        <v>193</v>
      </c>
      <c r="I85" s="26">
        <v>160175</v>
      </c>
      <c r="J85" s="102">
        <f>IFERROR(MIN('MP Calculations'!$E$29/I85,1),"-")</f>
        <v>0.50792864054939912</v>
      </c>
      <c r="K85" s="37"/>
      <c r="L85" s="26">
        <v>1</v>
      </c>
      <c r="M85" s="26"/>
      <c r="N85" s="26">
        <v>448587.39959999989</v>
      </c>
      <c r="O85" s="96">
        <f t="shared" si="1"/>
        <v>448587.39959999989</v>
      </c>
      <c r="P85" s="98">
        <f t="shared" si="2"/>
        <v>227850.38804641803</v>
      </c>
    </row>
    <row r="86" spans="3:16" x14ac:dyDescent="0.25">
      <c r="C86" s="26"/>
      <c r="D86" s="116"/>
      <c r="E86" s="29"/>
      <c r="F86" s="93"/>
      <c r="H86" s="120"/>
      <c r="I86" s="26"/>
      <c r="J86" s="102"/>
      <c r="K86" s="37"/>
      <c r="L86" s="26"/>
      <c r="M86" s="26"/>
      <c r="N86" s="26"/>
      <c r="O86" s="96"/>
      <c r="P86" s="98"/>
    </row>
    <row r="87" spans="3:16" x14ac:dyDescent="0.25">
      <c r="C87" s="26"/>
      <c r="D87" s="196" t="s">
        <v>215</v>
      </c>
      <c r="E87" s="29"/>
      <c r="F87" s="93" t="str">
        <f t="shared" ref="F87:F218" si="5">IF(E87="","-",IF(OR(E87&lt;$E$15,E87&gt;$E$16),"ERROR - date outside of range","Date check - OK"))</f>
        <v>-</v>
      </c>
      <c r="H87" s="120"/>
      <c r="I87" s="26"/>
      <c r="J87" s="102" t="str">
        <f>IFERROR(MIN('MP Calculations'!$E$29/I87,1),"-")</f>
        <v>-</v>
      </c>
      <c r="K87" s="37"/>
      <c r="L87" s="26"/>
      <c r="M87" s="26"/>
      <c r="N87" s="26"/>
      <c r="O87" s="96" t="str">
        <f t="shared" ref="O87:O150" si="6">IF(N87="","-",L87*N87)</f>
        <v>-</v>
      </c>
      <c r="P87" s="98" t="str">
        <f t="shared" ref="P87:P218" si="7">IF(O87="-","-",IF(OR(E87&lt;$E$15,E87&gt;$E$16),0,O87*J87))</f>
        <v>-</v>
      </c>
    </row>
    <row r="88" spans="3:16" x14ac:dyDescent="0.25">
      <c r="C88" s="117" t="s">
        <v>216</v>
      </c>
      <c r="D88" s="116" t="s">
        <v>217</v>
      </c>
      <c r="E88" s="29">
        <v>27576</v>
      </c>
      <c r="F88" s="93" t="str">
        <f t="shared" si="5"/>
        <v>Date check - OK</v>
      </c>
      <c r="H88" s="120" t="s">
        <v>193</v>
      </c>
      <c r="I88" s="26">
        <v>160175</v>
      </c>
      <c r="J88" s="102">
        <f>IFERROR(MIN('MP Calculations'!$E$29/I88,1),"-")</f>
        <v>0.50792864054939912</v>
      </c>
      <c r="K88" s="37"/>
      <c r="L88" s="26">
        <v>1</v>
      </c>
      <c r="M88" s="26"/>
      <c r="N88" s="26">
        <v>2565477.7363800001</v>
      </c>
      <c r="O88" s="96">
        <f t="shared" si="6"/>
        <v>2565477.7363800001</v>
      </c>
      <c r="P88" s="98">
        <f t="shared" si="7"/>
        <v>1303079.6189992432</v>
      </c>
    </row>
    <row r="89" spans="3:16" x14ac:dyDescent="0.25">
      <c r="C89" s="117" t="s">
        <v>218</v>
      </c>
      <c r="D89" s="116" t="s">
        <v>219</v>
      </c>
      <c r="E89" s="29">
        <v>33420</v>
      </c>
      <c r="F89" s="93" t="str">
        <f t="shared" si="5"/>
        <v>Date check - OK</v>
      </c>
      <c r="H89" s="120" t="s">
        <v>193</v>
      </c>
      <c r="I89" s="26">
        <v>160175</v>
      </c>
      <c r="J89" s="102">
        <f>IFERROR(MIN('MP Calculations'!$E$29/I89,1),"-")</f>
        <v>0.50792864054939912</v>
      </c>
      <c r="K89" s="37"/>
      <c r="L89" s="26">
        <v>1</v>
      </c>
      <c r="M89" s="26"/>
      <c r="N89" s="26">
        <v>9510751.9967199992</v>
      </c>
      <c r="O89" s="96">
        <f t="shared" si="6"/>
        <v>9510751.9967199992</v>
      </c>
      <c r="P89" s="98">
        <f t="shared" si="7"/>
        <v>4830783.332296472</v>
      </c>
    </row>
    <row r="90" spans="3:16" x14ac:dyDescent="0.25">
      <c r="C90" s="117" t="s">
        <v>220</v>
      </c>
      <c r="D90" s="116" t="s">
        <v>221</v>
      </c>
      <c r="E90" s="29">
        <v>27942</v>
      </c>
      <c r="F90" s="93" t="str">
        <f t="shared" si="5"/>
        <v>Date check - OK</v>
      </c>
      <c r="H90" s="120" t="s">
        <v>193</v>
      </c>
      <c r="I90" s="26">
        <v>160175</v>
      </c>
      <c r="J90" s="102">
        <f>IFERROR(MIN('MP Calculations'!$E$29/I90,1),"-")</f>
        <v>0.50792864054939912</v>
      </c>
      <c r="K90" s="37"/>
      <c r="L90" s="26">
        <v>1</v>
      </c>
      <c r="M90" s="26"/>
      <c r="N90" s="26">
        <v>9479358.9840599988</v>
      </c>
      <c r="O90" s="96">
        <f t="shared" si="6"/>
        <v>9479358.9840599988</v>
      </c>
      <c r="P90" s="98">
        <f t="shared" si="7"/>
        <v>4814837.9220533287</v>
      </c>
    </row>
    <row r="91" spans="3:16" x14ac:dyDescent="0.25">
      <c r="C91" s="117" t="s">
        <v>222</v>
      </c>
      <c r="D91" s="116" t="s">
        <v>223</v>
      </c>
      <c r="E91" s="29">
        <v>32325</v>
      </c>
      <c r="F91" s="93" t="str">
        <f t="shared" si="5"/>
        <v>Date check - OK</v>
      </c>
      <c r="H91" s="120" t="s">
        <v>193</v>
      </c>
      <c r="I91" s="26">
        <v>160175</v>
      </c>
      <c r="J91" s="102">
        <f>IFERROR(MIN('MP Calculations'!$E$29/I91,1),"-")</f>
        <v>0.50792864054939912</v>
      </c>
      <c r="K91" s="37"/>
      <c r="L91" s="26">
        <v>1</v>
      </c>
      <c r="M91" s="26"/>
      <c r="N91" s="26">
        <v>458903.25887999998</v>
      </c>
      <c r="O91" s="96">
        <f t="shared" si="6"/>
        <v>458903.25887999998</v>
      </c>
      <c r="P91" s="98">
        <f t="shared" si="7"/>
        <v>233090.10842660736</v>
      </c>
    </row>
    <row r="92" spans="3:16" x14ac:dyDescent="0.25">
      <c r="C92" s="117" t="s">
        <v>224</v>
      </c>
      <c r="D92" s="116" t="s">
        <v>223</v>
      </c>
      <c r="E92" s="29">
        <v>32325</v>
      </c>
      <c r="F92" s="93" t="str">
        <f t="shared" si="5"/>
        <v>Date check - OK</v>
      </c>
      <c r="H92" s="120" t="s">
        <v>193</v>
      </c>
      <c r="I92" s="26">
        <v>160175</v>
      </c>
      <c r="J92" s="102">
        <f>IFERROR(MIN('MP Calculations'!$E$29/I92,1),"-")</f>
        <v>0.50792864054939912</v>
      </c>
      <c r="K92" s="37"/>
      <c r="L92" s="26">
        <v>1</v>
      </c>
      <c r="M92" s="26"/>
      <c r="N92" s="26">
        <v>307672.88248999999</v>
      </c>
      <c r="O92" s="96">
        <f t="shared" si="6"/>
        <v>307672.88248999999</v>
      </c>
      <c r="P92" s="98">
        <f t="shared" si="7"/>
        <v>156275.86893706073</v>
      </c>
    </row>
    <row r="93" spans="3:16" x14ac:dyDescent="0.25">
      <c r="C93" s="117" t="s">
        <v>225</v>
      </c>
      <c r="D93" s="116" t="s">
        <v>226</v>
      </c>
      <c r="E93" s="29">
        <v>30498</v>
      </c>
      <c r="F93" s="93" t="str">
        <f t="shared" si="5"/>
        <v>Date check - OK</v>
      </c>
      <c r="H93" s="120" t="s">
        <v>193</v>
      </c>
      <c r="I93" s="26">
        <v>160175</v>
      </c>
      <c r="J93" s="102">
        <f>IFERROR(MIN('MP Calculations'!$E$29/I93,1),"-")</f>
        <v>0.50792864054939912</v>
      </c>
      <c r="K93" s="37"/>
      <c r="L93" s="26">
        <v>1</v>
      </c>
      <c r="M93" s="26"/>
      <c r="N93" s="26">
        <v>455922.39166000002</v>
      </c>
      <c r="O93" s="96">
        <f t="shared" si="6"/>
        <v>455922.39166000002</v>
      </c>
      <c r="P93" s="98">
        <f t="shared" si="7"/>
        <v>231576.0405918945</v>
      </c>
    </row>
    <row r="94" spans="3:16" x14ac:dyDescent="0.25">
      <c r="C94" s="117" t="s">
        <v>227</v>
      </c>
      <c r="D94" s="116" t="s">
        <v>228</v>
      </c>
      <c r="E94" s="29">
        <v>30498</v>
      </c>
      <c r="F94" s="93" t="str">
        <f t="shared" si="5"/>
        <v>Date check - OK</v>
      </c>
      <c r="H94" s="120" t="s">
        <v>193</v>
      </c>
      <c r="I94" s="26">
        <v>160175</v>
      </c>
      <c r="J94" s="102">
        <f>IFERROR(MIN('MP Calculations'!$E$29/I94,1),"-")</f>
        <v>0.50792864054939912</v>
      </c>
      <c r="K94" s="37"/>
      <c r="L94" s="26">
        <v>1</v>
      </c>
      <c r="M94" s="26"/>
      <c r="N94" s="26">
        <v>276036.57383999997</v>
      </c>
      <c r="O94" s="96">
        <f t="shared" si="6"/>
        <v>276036.57383999997</v>
      </c>
      <c r="P94" s="98">
        <f t="shared" si="7"/>
        <v>140206.88169246502</v>
      </c>
    </row>
    <row r="95" spans="3:16" x14ac:dyDescent="0.25">
      <c r="C95" s="117" t="s">
        <v>229</v>
      </c>
      <c r="D95" s="116" t="s">
        <v>230</v>
      </c>
      <c r="E95" s="29">
        <v>30498</v>
      </c>
      <c r="F95" s="93" t="str">
        <f t="shared" si="5"/>
        <v>Date check - OK</v>
      </c>
      <c r="H95" s="120" t="s">
        <v>193</v>
      </c>
      <c r="I95" s="26">
        <v>160175</v>
      </c>
      <c r="J95" s="102">
        <f>IFERROR(MIN('MP Calculations'!$E$29/I95,1),"-")</f>
        <v>0.50792864054939912</v>
      </c>
      <c r="K95" s="37"/>
      <c r="L95" s="26">
        <v>1</v>
      </c>
      <c r="M95" s="26"/>
      <c r="N95" s="26">
        <v>276036.57383999997</v>
      </c>
      <c r="O95" s="96">
        <f t="shared" si="6"/>
        <v>276036.57383999997</v>
      </c>
      <c r="P95" s="98">
        <f t="shared" si="7"/>
        <v>140206.88169246502</v>
      </c>
    </row>
    <row r="96" spans="3:16" x14ac:dyDescent="0.25">
      <c r="C96" s="117" t="s">
        <v>231</v>
      </c>
      <c r="D96" s="116" t="s">
        <v>232</v>
      </c>
      <c r="E96" s="29">
        <v>30498</v>
      </c>
      <c r="F96" s="93" t="str">
        <f t="shared" si="5"/>
        <v>Date check - OK</v>
      </c>
      <c r="H96" s="120" t="s">
        <v>193</v>
      </c>
      <c r="I96" s="26">
        <v>160175</v>
      </c>
      <c r="J96" s="102">
        <f>IFERROR(MIN('MP Calculations'!$E$29/I96,1),"-")</f>
        <v>0.50792864054939912</v>
      </c>
      <c r="K96" s="37"/>
      <c r="L96" s="26">
        <v>1</v>
      </c>
      <c r="M96" s="26"/>
      <c r="N96" s="26">
        <v>276036.57383999997</v>
      </c>
      <c r="O96" s="96">
        <f t="shared" si="6"/>
        <v>276036.57383999997</v>
      </c>
      <c r="P96" s="98">
        <f t="shared" si="7"/>
        <v>140206.88169246502</v>
      </c>
    </row>
    <row r="97" spans="3:16" x14ac:dyDescent="0.25">
      <c r="C97" s="117" t="s">
        <v>233</v>
      </c>
      <c r="D97" s="116" t="s">
        <v>234</v>
      </c>
      <c r="E97" s="29">
        <v>30498</v>
      </c>
      <c r="F97" s="93" t="str">
        <f t="shared" si="5"/>
        <v>Date check - OK</v>
      </c>
      <c r="H97" s="120" t="s">
        <v>193</v>
      </c>
      <c r="I97" s="26">
        <v>160175</v>
      </c>
      <c r="J97" s="102">
        <f>IFERROR(MIN('MP Calculations'!$E$29/I97,1),"-")</f>
        <v>0.50792864054939912</v>
      </c>
      <c r="K97" s="37"/>
      <c r="L97" s="26">
        <v>1</v>
      </c>
      <c r="M97" s="26"/>
      <c r="N97" s="26">
        <v>276036.57383999997</v>
      </c>
      <c r="O97" s="96">
        <f t="shared" si="6"/>
        <v>276036.57383999997</v>
      </c>
      <c r="P97" s="98">
        <f t="shared" si="7"/>
        <v>140206.88169246502</v>
      </c>
    </row>
    <row r="98" spans="3:16" x14ac:dyDescent="0.25">
      <c r="C98" s="117" t="s">
        <v>235</v>
      </c>
      <c r="D98" s="116" t="s">
        <v>236</v>
      </c>
      <c r="E98" s="29">
        <v>30498</v>
      </c>
      <c r="F98" s="93" t="str">
        <f t="shared" si="5"/>
        <v>Date check - OK</v>
      </c>
      <c r="H98" s="120" t="s">
        <v>193</v>
      </c>
      <c r="I98" s="26">
        <v>160175</v>
      </c>
      <c r="J98" s="102">
        <f>IFERROR(MIN('MP Calculations'!$E$29/I98,1),"-")</f>
        <v>0.50792864054939912</v>
      </c>
      <c r="K98" s="37"/>
      <c r="L98" s="26">
        <v>1</v>
      </c>
      <c r="M98" s="26"/>
      <c r="N98" s="26">
        <v>276036.57383999997</v>
      </c>
      <c r="O98" s="96">
        <f t="shared" si="6"/>
        <v>276036.57383999997</v>
      </c>
      <c r="P98" s="98">
        <f t="shared" si="7"/>
        <v>140206.88169246502</v>
      </c>
    </row>
    <row r="99" spans="3:16" x14ac:dyDescent="0.25">
      <c r="C99" s="117" t="s">
        <v>237</v>
      </c>
      <c r="D99" s="116" t="s">
        <v>238</v>
      </c>
      <c r="E99" s="29">
        <v>30498</v>
      </c>
      <c r="F99" s="93" t="str">
        <f t="shared" si="5"/>
        <v>Date check - OK</v>
      </c>
      <c r="H99" s="120" t="s">
        <v>193</v>
      </c>
      <c r="I99" s="26">
        <v>160175</v>
      </c>
      <c r="J99" s="102">
        <f>IFERROR(MIN('MP Calculations'!$E$29/I99,1),"-")</f>
        <v>0.50792864054939912</v>
      </c>
      <c r="K99" s="37"/>
      <c r="L99" s="26">
        <v>1</v>
      </c>
      <c r="M99" s="26"/>
      <c r="N99" s="26">
        <v>276036.57383999997</v>
      </c>
      <c r="O99" s="96">
        <f t="shared" si="6"/>
        <v>276036.57383999997</v>
      </c>
      <c r="P99" s="98">
        <f t="shared" si="7"/>
        <v>140206.88169246502</v>
      </c>
    </row>
    <row r="100" spans="3:16" x14ac:dyDescent="0.25">
      <c r="C100" s="117" t="s">
        <v>239</v>
      </c>
      <c r="D100" s="116" t="s">
        <v>240</v>
      </c>
      <c r="E100" s="29">
        <v>30498</v>
      </c>
      <c r="F100" s="93" t="str">
        <f t="shared" si="5"/>
        <v>Date check - OK</v>
      </c>
      <c r="H100" s="120" t="s">
        <v>193</v>
      </c>
      <c r="I100" s="26">
        <v>160175</v>
      </c>
      <c r="J100" s="102">
        <f>IFERROR(MIN('MP Calculations'!$E$29/I100,1),"-")</f>
        <v>0.50792864054939912</v>
      </c>
      <c r="K100" s="37"/>
      <c r="L100" s="26">
        <v>1</v>
      </c>
      <c r="M100" s="26"/>
      <c r="N100" s="26">
        <v>421227.56790999998</v>
      </c>
      <c r="O100" s="96">
        <f t="shared" si="6"/>
        <v>421227.56790999998</v>
      </c>
      <c r="P100" s="98">
        <f t="shared" si="7"/>
        <v>213953.54593045599</v>
      </c>
    </row>
    <row r="101" spans="3:16" x14ac:dyDescent="0.25">
      <c r="C101" s="117" t="s">
        <v>241</v>
      </c>
      <c r="D101" s="116" t="s">
        <v>242</v>
      </c>
      <c r="E101" s="29">
        <v>34151</v>
      </c>
      <c r="F101" s="93" t="str">
        <f t="shared" si="5"/>
        <v>Date check - OK</v>
      </c>
      <c r="H101" s="120" t="s">
        <v>193</v>
      </c>
      <c r="I101" s="26">
        <v>160175</v>
      </c>
      <c r="J101" s="102">
        <f>IFERROR(MIN('MP Calculations'!$E$29/I101,1),"-")</f>
        <v>0.50792864054939912</v>
      </c>
      <c r="K101" s="37"/>
      <c r="L101" s="26">
        <v>1</v>
      </c>
      <c r="M101" s="26"/>
      <c r="N101" s="26">
        <v>419749.04212999996</v>
      </c>
      <c r="O101" s="96">
        <f t="shared" si="6"/>
        <v>419749.04212999996</v>
      </c>
      <c r="P101" s="98">
        <f t="shared" si="7"/>
        <v>213202.56034100335</v>
      </c>
    </row>
    <row r="102" spans="3:16" x14ac:dyDescent="0.25">
      <c r="C102" s="117" t="s">
        <v>243</v>
      </c>
      <c r="D102" s="116" t="s">
        <v>244</v>
      </c>
      <c r="E102" s="29">
        <v>27211</v>
      </c>
      <c r="F102" s="93" t="str">
        <f t="shared" si="5"/>
        <v>Date check - OK</v>
      </c>
      <c r="H102" s="120" t="s">
        <v>193</v>
      </c>
      <c r="I102" s="26">
        <v>160175</v>
      </c>
      <c r="J102" s="102">
        <f>IFERROR(MIN('MP Calculations'!$E$29/I102,1),"-")</f>
        <v>0.50792864054939912</v>
      </c>
      <c r="K102" s="37"/>
      <c r="L102" s="26">
        <v>1</v>
      </c>
      <c r="M102" s="26"/>
      <c r="N102" s="26">
        <v>8321613.5910100006</v>
      </c>
      <c r="O102" s="96">
        <f t="shared" si="6"/>
        <v>8321613.5910100006</v>
      </c>
      <c r="P102" s="98">
        <f t="shared" si="7"/>
        <v>4226785.8784591127</v>
      </c>
    </row>
    <row r="103" spans="3:16" x14ac:dyDescent="0.25">
      <c r="C103" s="117" t="s">
        <v>245</v>
      </c>
      <c r="D103" s="116" t="s">
        <v>246</v>
      </c>
      <c r="E103" s="29">
        <v>30133</v>
      </c>
      <c r="F103" s="93" t="str">
        <f t="shared" si="5"/>
        <v>Date check - OK</v>
      </c>
      <c r="H103" s="120" t="s">
        <v>193</v>
      </c>
      <c r="I103" s="26">
        <v>160175</v>
      </c>
      <c r="J103" s="102">
        <f>IFERROR(MIN('MP Calculations'!$E$29/I103,1),"-")</f>
        <v>0.50792864054939912</v>
      </c>
      <c r="K103" s="37"/>
      <c r="L103" s="26">
        <v>1</v>
      </c>
      <c r="M103" s="26"/>
      <c r="N103" s="26">
        <v>12073347.06081</v>
      </c>
      <c r="O103" s="96">
        <f t="shared" si="6"/>
        <v>12073347.06081</v>
      </c>
      <c r="P103" s="98">
        <f t="shared" si="7"/>
        <v>6132398.7594783064</v>
      </c>
    </row>
    <row r="104" spans="3:16" x14ac:dyDescent="0.25">
      <c r="C104" s="26"/>
      <c r="D104" s="116"/>
      <c r="E104" s="29"/>
      <c r="F104" s="93" t="str">
        <f t="shared" si="5"/>
        <v>-</v>
      </c>
      <c r="H104" s="120"/>
      <c r="I104" s="26"/>
      <c r="J104" s="102" t="str">
        <f>IFERROR(MIN('MP Calculations'!$E$29/I104,1),"-")</f>
        <v>-</v>
      </c>
      <c r="K104" s="37"/>
      <c r="L104" s="26"/>
      <c r="M104" s="26"/>
      <c r="N104" s="26"/>
      <c r="O104" s="96" t="str">
        <f t="shared" si="6"/>
        <v>-</v>
      </c>
      <c r="P104" s="98" t="str">
        <f t="shared" si="7"/>
        <v>-</v>
      </c>
    </row>
    <row r="105" spans="3:16" x14ac:dyDescent="0.25">
      <c r="C105" s="26"/>
      <c r="D105" s="196" t="s">
        <v>247</v>
      </c>
      <c r="E105" s="29"/>
      <c r="F105" s="93" t="str">
        <f t="shared" si="5"/>
        <v>-</v>
      </c>
      <c r="H105" s="120"/>
      <c r="I105" s="26"/>
      <c r="J105" s="102" t="str">
        <f>IFERROR(MIN('MP Calculations'!$E$29/I105,1),"-")</f>
        <v>-</v>
      </c>
      <c r="K105" s="37"/>
      <c r="L105" s="26"/>
      <c r="M105" s="26"/>
      <c r="N105" s="26"/>
      <c r="O105" s="96" t="str">
        <f t="shared" si="6"/>
        <v>-</v>
      </c>
      <c r="P105" s="98" t="str">
        <f t="shared" si="7"/>
        <v>-</v>
      </c>
    </row>
    <row r="106" spans="3:16" x14ac:dyDescent="0.25">
      <c r="C106" s="26" t="s">
        <v>248</v>
      </c>
      <c r="D106" s="116" t="s">
        <v>249</v>
      </c>
      <c r="E106" s="29">
        <v>29403</v>
      </c>
      <c r="F106" s="93" t="str">
        <f t="shared" si="5"/>
        <v>Date check - OK</v>
      </c>
      <c r="H106" s="120" t="s">
        <v>193</v>
      </c>
      <c r="I106" s="26">
        <v>160175</v>
      </c>
      <c r="J106" s="102">
        <f>IFERROR(MIN('MP Calculations'!$E$29/I106,1),"-")</f>
        <v>0.50792864054939912</v>
      </c>
      <c r="K106" s="37"/>
      <c r="L106" s="26">
        <v>1</v>
      </c>
      <c r="M106" s="26"/>
      <c r="N106" s="26">
        <v>957518.03776999994</v>
      </c>
      <c r="O106" s="96">
        <f t="shared" si="6"/>
        <v>957518.03776999994</v>
      </c>
      <c r="P106" s="98">
        <f t="shared" si="7"/>
        <v>486350.83522604429</v>
      </c>
    </row>
    <row r="107" spans="3:16" x14ac:dyDescent="0.25">
      <c r="C107" s="26"/>
      <c r="D107" s="116"/>
      <c r="E107" s="29"/>
      <c r="F107" s="93" t="str">
        <f t="shared" si="5"/>
        <v>-</v>
      </c>
      <c r="H107" s="120"/>
      <c r="I107" s="26"/>
      <c r="J107" s="102" t="str">
        <f>IFERROR(MIN('MP Calculations'!$E$29/I107,1),"-")</f>
        <v>-</v>
      </c>
      <c r="K107" s="37"/>
      <c r="L107" s="26"/>
      <c r="M107" s="26"/>
      <c r="N107" s="26"/>
      <c r="O107" s="96" t="str">
        <f t="shared" si="6"/>
        <v>-</v>
      </c>
      <c r="P107" s="98" t="str">
        <f t="shared" si="7"/>
        <v>-</v>
      </c>
    </row>
    <row r="108" spans="3:16" x14ac:dyDescent="0.25">
      <c r="C108" s="26"/>
      <c r="D108" s="196"/>
      <c r="E108" s="29"/>
      <c r="F108" s="93" t="str">
        <f t="shared" si="5"/>
        <v>-</v>
      </c>
      <c r="H108" s="120"/>
      <c r="I108" s="26"/>
      <c r="J108" s="102" t="str">
        <f>IFERROR(MIN('MP Calculations'!$E$29/I108,1),"-")</f>
        <v>-</v>
      </c>
      <c r="K108" s="37"/>
      <c r="L108" s="26"/>
      <c r="M108" s="26"/>
      <c r="N108" s="26"/>
      <c r="O108" s="96" t="str">
        <f t="shared" si="6"/>
        <v>-</v>
      </c>
      <c r="P108" s="98" t="str">
        <f t="shared" si="7"/>
        <v>-</v>
      </c>
    </row>
    <row r="109" spans="3:16" x14ac:dyDescent="0.25">
      <c r="C109" s="26"/>
      <c r="D109" s="116"/>
      <c r="E109" s="29"/>
      <c r="F109" s="93" t="str">
        <f t="shared" si="5"/>
        <v>-</v>
      </c>
      <c r="H109" s="120"/>
      <c r="I109" s="26"/>
      <c r="J109" s="102" t="str">
        <f>IFERROR(MIN('MP Calculations'!$E$29/I109,1),"-")</f>
        <v>-</v>
      </c>
      <c r="K109" s="37"/>
      <c r="L109" s="26"/>
      <c r="M109" s="26"/>
      <c r="N109" s="26"/>
      <c r="O109" s="96" t="str">
        <f t="shared" si="6"/>
        <v>-</v>
      </c>
      <c r="P109" s="98" t="str">
        <f t="shared" si="7"/>
        <v>-</v>
      </c>
    </row>
    <row r="110" spans="3:16" x14ac:dyDescent="0.25">
      <c r="C110" s="26"/>
      <c r="D110" s="116"/>
      <c r="E110" s="29"/>
      <c r="F110" s="93" t="str">
        <f t="shared" si="5"/>
        <v>-</v>
      </c>
      <c r="H110" s="120"/>
      <c r="I110" s="26"/>
      <c r="J110" s="102" t="str">
        <f>IFERROR(MIN('MP Calculations'!$E$29/I110,1),"-")</f>
        <v>-</v>
      </c>
      <c r="K110" s="37"/>
      <c r="L110" s="26"/>
      <c r="M110" s="26"/>
      <c r="N110" s="26"/>
      <c r="O110" s="96" t="str">
        <f t="shared" si="6"/>
        <v>-</v>
      </c>
      <c r="P110" s="98" t="str">
        <f t="shared" si="7"/>
        <v>-</v>
      </c>
    </row>
    <row r="111" spans="3:16" x14ac:dyDescent="0.25">
      <c r="C111" s="26"/>
      <c r="D111" s="116"/>
      <c r="E111" s="29"/>
      <c r="F111" s="93" t="str">
        <f t="shared" si="5"/>
        <v>-</v>
      </c>
      <c r="H111" s="120"/>
      <c r="I111" s="26"/>
      <c r="J111" s="102" t="str">
        <f>IFERROR(MIN('MP Calculations'!$E$29/I111,1),"-")</f>
        <v>-</v>
      </c>
      <c r="K111" s="37"/>
      <c r="L111" s="26"/>
      <c r="M111" s="26"/>
      <c r="N111" s="26"/>
      <c r="O111" s="96" t="str">
        <f t="shared" si="6"/>
        <v>-</v>
      </c>
      <c r="P111" s="98" t="str">
        <f t="shared" si="7"/>
        <v>-</v>
      </c>
    </row>
    <row r="112" spans="3:16" x14ac:dyDescent="0.25">
      <c r="C112" s="26"/>
      <c r="D112" s="116"/>
      <c r="E112" s="29"/>
      <c r="F112" s="93" t="str">
        <f t="shared" si="5"/>
        <v>-</v>
      </c>
      <c r="H112" s="120"/>
      <c r="I112" s="26"/>
      <c r="J112" s="102" t="str">
        <f>IFERROR(MIN('MP Calculations'!$E$29/I112,1),"-")</f>
        <v>-</v>
      </c>
      <c r="K112" s="37"/>
      <c r="L112" s="26"/>
      <c r="M112" s="26"/>
      <c r="N112" s="26"/>
      <c r="O112" s="96" t="str">
        <f t="shared" si="6"/>
        <v>-</v>
      </c>
      <c r="P112" s="98" t="str">
        <f t="shared" si="7"/>
        <v>-</v>
      </c>
    </row>
    <row r="113" spans="3:16" x14ac:dyDescent="0.25">
      <c r="C113" s="26"/>
      <c r="D113" s="116"/>
      <c r="E113" s="29"/>
      <c r="F113" s="93" t="str">
        <f t="shared" si="5"/>
        <v>-</v>
      </c>
      <c r="H113" s="120"/>
      <c r="I113" s="26"/>
      <c r="J113" s="102" t="str">
        <f>IFERROR(MIN('MP Calculations'!$E$29/I113,1),"-")</f>
        <v>-</v>
      </c>
      <c r="K113" s="37"/>
      <c r="L113" s="26"/>
      <c r="M113" s="26"/>
      <c r="N113" s="26"/>
      <c r="O113" s="96" t="str">
        <f t="shared" si="6"/>
        <v>-</v>
      </c>
      <c r="P113" s="98" t="str">
        <f t="shared" si="7"/>
        <v>-</v>
      </c>
    </row>
    <row r="114" spans="3:16" x14ac:dyDescent="0.25">
      <c r="C114" s="26"/>
      <c r="D114" s="116"/>
      <c r="E114" s="29"/>
      <c r="F114" s="93" t="str">
        <f t="shared" si="5"/>
        <v>-</v>
      </c>
      <c r="H114" s="120"/>
      <c r="I114" s="26"/>
      <c r="J114" s="102" t="str">
        <f>IFERROR(MIN('MP Calculations'!$E$29/I114,1),"-")</f>
        <v>-</v>
      </c>
      <c r="K114" s="37"/>
      <c r="L114" s="26"/>
      <c r="M114" s="26"/>
      <c r="N114" s="26"/>
      <c r="O114" s="96" t="str">
        <f t="shared" si="6"/>
        <v>-</v>
      </c>
      <c r="P114" s="98" t="str">
        <f t="shared" si="7"/>
        <v>-</v>
      </c>
    </row>
    <row r="115" spans="3:16" x14ac:dyDescent="0.25">
      <c r="C115" s="26"/>
      <c r="D115" s="116"/>
      <c r="E115" s="29"/>
      <c r="F115" s="93" t="str">
        <f t="shared" si="5"/>
        <v>-</v>
      </c>
      <c r="H115" s="120"/>
      <c r="I115" s="26"/>
      <c r="J115" s="102" t="str">
        <f>IFERROR(MIN('MP Calculations'!$E$29/I115,1),"-")</f>
        <v>-</v>
      </c>
      <c r="K115" s="37"/>
      <c r="L115" s="26"/>
      <c r="M115" s="26"/>
      <c r="N115" s="26"/>
      <c r="O115" s="96" t="str">
        <f t="shared" si="6"/>
        <v>-</v>
      </c>
      <c r="P115" s="98" t="str">
        <f t="shared" si="7"/>
        <v>-</v>
      </c>
    </row>
    <row r="116" spans="3:16" x14ac:dyDescent="0.25">
      <c r="C116" s="26"/>
      <c r="D116" s="116"/>
      <c r="E116" s="29"/>
      <c r="F116" s="93" t="str">
        <f t="shared" si="5"/>
        <v>-</v>
      </c>
      <c r="H116" s="120"/>
      <c r="I116" s="26"/>
      <c r="J116" s="102" t="str">
        <f>IFERROR(MIN('MP Calculations'!$E$29/I116,1),"-")</f>
        <v>-</v>
      </c>
      <c r="K116" s="37"/>
      <c r="L116" s="26"/>
      <c r="M116" s="26"/>
      <c r="N116" s="26"/>
      <c r="O116" s="96" t="str">
        <f t="shared" si="6"/>
        <v>-</v>
      </c>
      <c r="P116" s="98" t="str">
        <f t="shared" si="7"/>
        <v>-</v>
      </c>
    </row>
    <row r="117" spans="3:16" x14ac:dyDescent="0.25">
      <c r="C117" s="26"/>
      <c r="D117" s="116"/>
      <c r="E117" s="29"/>
      <c r="F117" s="93" t="str">
        <f t="shared" si="5"/>
        <v>-</v>
      </c>
      <c r="H117" s="120"/>
      <c r="I117" s="26"/>
      <c r="J117" s="102" t="str">
        <f>IFERROR(MIN('MP Calculations'!$E$29/I117,1),"-")</f>
        <v>-</v>
      </c>
      <c r="K117" s="37"/>
      <c r="L117" s="26"/>
      <c r="M117" s="26"/>
      <c r="N117" s="26"/>
      <c r="O117" s="96" t="str">
        <f t="shared" si="6"/>
        <v>-</v>
      </c>
      <c r="P117" s="98" t="str">
        <f t="shared" si="7"/>
        <v>-</v>
      </c>
    </row>
    <row r="118" spans="3:16" x14ac:dyDescent="0.25">
      <c r="C118" s="26"/>
      <c r="D118" s="116"/>
      <c r="E118" s="29"/>
      <c r="F118" s="93" t="str">
        <f t="shared" si="5"/>
        <v>-</v>
      </c>
      <c r="H118" s="120"/>
      <c r="I118" s="26"/>
      <c r="J118" s="102" t="str">
        <f>IFERROR(MIN('MP Calculations'!$E$29/I118,1),"-")</f>
        <v>-</v>
      </c>
      <c r="K118" s="37"/>
      <c r="L118" s="26"/>
      <c r="M118" s="26"/>
      <c r="N118" s="26"/>
      <c r="O118" s="96" t="str">
        <f t="shared" si="6"/>
        <v>-</v>
      </c>
      <c r="P118" s="98" t="str">
        <f t="shared" si="7"/>
        <v>-</v>
      </c>
    </row>
    <row r="119" spans="3:16" x14ac:dyDescent="0.25">
      <c r="C119" s="26"/>
      <c r="D119" s="116"/>
      <c r="E119" s="29"/>
      <c r="F119" s="93" t="str">
        <f t="shared" si="5"/>
        <v>-</v>
      </c>
      <c r="H119" s="120"/>
      <c r="I119" s="26"/>
      <c r="J119" s="102" t="str">
        <f>IFERROR(MIN('MP Calculations'!$E$29/I119,1),"-")</f>
        <v>-</v>
      </c>
      <c r="K119" s="37"/>
      <c r="L119" s="26"/>
      <c r="M119" s="26"/>
      <c r="N119" s="26"/>
      <c r="O119" s="96" t="str">
        <f t="shared" si="6"/>
        <v>-</v>
      </c>
      <c r="P119" s="98" t="str">
        <f t="shared" si="7"/>
        <v>-</v>
      </c>
    </row>
    <row r="120" spans="3:16" x14ac:dyDescent="0.25">
      <c r="C120" s="26"/>
      <c r="D120" s="116"/>
      <c r="E120" s="29"/>
      <c r="F120" s="93" t="str">
        <f t="shared" ref="F120:F183" si="8">IF(E120="","-",IF(OR(E120&lt;$E$15,E120&gt;$E$16),"ERROR - date outside of range","Date check - OK"))</f>
        <v>-</v>
      </c>
      <c r="H120" s="120"/>
      <c r="I120" s="26"/>
      <c r="J120" s="102" t="str">
        <f>IFERROR(MIN('MP Calculations'!$E$29/I120,1),"-")</f>
        <v>-</v>
      </c>
      <c r="K120" s="37"/>
      <c r="L120" s="26"/>
      <c r="M120" s="26"/>
      <c r="N120" s="26"/>
      <c r="O120" s="96" t="str">
        <f t="shared" si="6"/>
        <v>-</v>
      </c>
      <c r="P120" s="98" t="str">
        <f t="shared" ref="P120:P183" si="9">IF(O120="-","-",IF(OR(E120&lt;$E$15,E120&gt;$E$16),0,O120*J120))</f>
        <v>-</v>
      </c>
    </row>
    <row r="121" spans="3:16" x14ac:dyDescent="0.25">
      <c r="C121" s="26"/>
      <c r="D121" s="116"/>
      <c r="E121" s="29"/>
      <c r="F121" s="93" t="str">
        <f t="shared" si="8"/>
        <v>-</v>
      </c>
      <c r="H121" s="120"/>
      <c r="I121" s="26"/>
      <c r="J121" s="102" t="str">
        <f>IFERROR(MIN('MP Calculations'!$E$29/I121,1),"-")</f>
        <v>-</v>
      </c>
      <c r="K121" s="37"/>
      <c r="L121" s="26"/>
      <c r="M121" s="26"/>
      <c r="N121" s="26"/>
      <c r="O121" s="96" t="str">
        <f t="shared" si="6"/>
        <v>-</v>
      </c>
      <c r="P121" s="98" t="str">
        <f t="shared" si="9"/>
        <v>-</v>
      </c>
    </row>
    <row r="122" spans="3:16" x14ac:dyDescent="0.25">
      <c r="C122" s="26"/>
      <c r="D122" s="116"/>
      <c r="E122" s="29"/>
      <c r="F122" s="93" t="str">
        <f t="shared" si="8"/>
        <v>-</v>
      </c>
      <c r="H122" s="120"/>
      <c r="I122" s="26"/>
      <c r="J122" s="102" t="str">
        <f>IFERROR(MIN('MP Calculations'!$E$29/I122,1),"-")</f>
        <v>-</v>
      </c>
      <c r="K122" s="37"/>
      <c r="L122" s="26"/>
      <c r="M122" s="26"/>
      <c r="N122" s="26"/>
      <c r="O122" s="96" t="str">
        <f t="shared" si="6"/>
        <v>-</v>
      </c>
      <c r="P122" s="98" t="str">
        <f t="shared" si="9"/>
        <v>-</v>
      </c>
    </row>
    <row r="123" spans="3:16" x14ac:dyDescent="0.25">
      <c r="C123" s="26"/>
      <c r="D123" s="116"/>
      <c r="E123" s="29"/>
      <c r="F123" s="93" t="str">
        <f t="shared" si="8"/>
        <v>-</v>
      </c>
      <c r="H123" s="120"/>
      <c r="I123" s="26"/>
      <c r="J123" s="102" t="str">
        <f>IFERROR(MIN('MP Calculations'!$E$29/I123,1),"-")</f>
        <v>-</v>
      </c>
      <c r="K123" s="37"/>
      <c r="L123" s="26"/>
      <c r="M123" s="26"/>
      <c r="N123" s="26"/>
      <c r="O123" s="96" t="str">
        <f t="shared" si="6"/>
        <v>-</v>
      </c>
      <c r="P123" s="98" t="str">
        <f t="shared" si="9"/>
        <v>-</v>
      </c>
    </row>
    <row r="124" spans="3:16" x14ac:dyDescent="0.25">
      <c r="C124" s="26"/>
      <c r="D124" s="116"/>
      <c r="E124" s="29"/>
      <c r="F124" s="93" t="str">
        <f t="shared" si="8"/>
        <v>-</v>
      </c>
      <c r="H124" s="120"/>
      <c r="I124" s="26"/>
      <c r="J124" s="102" t="str">
        <f>IFERROR(MIN('MP Calculations'!$E$29/I124,1),"-")</f>
        <v>-</v>
      </c>
      <c r="K124" s="37"/>
      <c r="L124" s="26"/>
      <c r="M124" s="26"/>
      <c r="N124" s="26"/>
      <c r="O124" s="96" t="str">
        <f t="shared" si="6"/>
        <v>-</v>
      </c>
      <c r="P124" s="98" t="str">
        <f t="shared" si="9"/>
        <v>-</v>
      </c>
    </row>
    <row r="125" spans="3:16" x14ac:dyDescent="0.25">
      <c r="C125" s="26"/>
      <c r="D125" s="116"/>
      <c r="E125" s="29"/>
      <c r="F125" s="93" t="str">
        <f t="shared" si="8"/>
        <v>-</v>
      </c>
      <c r="H125" s="120"/>
      <c r="I125" s="26"/>
      <c r="J125" s="102" t="str">
        <f>IFERROR(MIN('MP Calculations'!$E$29/I125,1),"-")</f>
        <v>-</v>
      </c>
      <c r="K125" s="37"/>
      <c r="L125" s="26"/>
      <c r="M125" s="26"/>
      <c r="N125" s="26"/>
      <c r="O125" s="96" t="str">
        <f t="shared" si="6"/>
        <v>-</v>
      </c>
      <c r="P125" s="98" t="str">
        <f t="shared" si="9"/>
        <v>-</v>
      </c>
    </row>
    <row r="126" spans="3:16" x14ac:dyDescent="0.25">
      <c r="C126" s="26"/>
      <c r="D126" s="116"/>
      <c r="E126" s="29"/>
      <c r="F126" s="93" t="str">
        <f t="shared" si="8"/>
        <v>-</v>
      </c>
      <c r="H126" s="120"/>
      <c r="I126" s="26"/>
      <c r="J126" s="102" t="str">
        <f>IFERROR(MIN('MP Calculations'!$E$29/I126,1),"-")</f>
        <v>-</v>
      </c>
      <c r="K126" s="37"/>
      <c r="L126" s="26"/>
      <c r="M126" s="26"/>
      <c r="N126" s="26"/>
      <c r="O126" s="96" t="str">
        <f t="shared" si="6"/>
        <v>-</v>
      </c>
      <c r="P126" s="98" t="str">
        <f t="shared" si="9"/>
        <v>-</v>
      </c>
    </row>
    <row r="127" spans="3:16" x14ac:dyDescent="0.25">
      <c r="C127" s="26"/>
      <c r="D127" s="116"/>
      <c r="E127" s="29"/>
      <c r="F127" s="93" t="str">
        <f t="shared" si="8"/>
        <v>-</v>
      </c>
      <c r="H127" s="120"/>
      <c r="I127" s="26"/>
      <c r="J127" s="102" t="str">
        <f>IFERROR(MIN('MP Calculations'!$E$29/I127,1),"-")</f>
        <v>-</v>
      </c>
      <c r="K127" s="37"/>
      <c r="L127" s="26"/>
      <c r="M127" s="26"/>
      <c r="N127" s="26"/>
      <c r="O127" s="96" t="str">
        <f t="shared" si="6"/>
        <v>-</v>
      </c>
      <c r="P127" s="98" t="str">
        <f t="shared" si="9"/>
        <v>-</v>
      </c>
    </row>
    <row r="128" spans="3:16" x14ac:dyDescent="0.25">
      <c r="C128" s="26"/>
      <c r="D128" s="116"/>
      <c r="E128" s="29"/>
      <c r="F128" s="93" t="str">
        <f t="shared" si="8"/>
        <v>-</v>
      </c>
      <c r="H128" s="120"/>
      <c r="I128" s="26"/>
      <c r="J128" s="102" t="str">
        <f>IFERROR(MIN('MP Calculations'!$E$29/I128,1),"-")</f>
        <v>-</v>
      </c>
      <c r="K128" s="37"/>
      <c r="L128" s="26"/>
      <c r="M128" s="26"/>
      <c r="N128" s="26"/>
      <c r="O128" s="96" t="str">
        <f t="shared" si="6"/>
        <v>-</v>
      </c>
      <c r="P128" s="98" t="str">
        <f t="shared" si="9"/>
        <v>-</v>
      </c>
    </row>
    <row r="129" spans="3:16" x14ac:dyDescent="0.25">
      <c r="C129" s="26"/>
      <c r="D129" s="116"/>
      <c r="E129" s="29"/>
      <c r="F129" s="93" t="str">
        <f t="shared" si="8"/>
        <v>-</v>
      </c>
      <c r="H129" s="120"/>
      <c r="I129" s="26"/>
      <c r="J129" s="102" t="str">
        <f>IFERROR(MIN('MP Calculations'!$E$29/I129,1),"-")</f>
        <v>-</v>
      </c>
      <c r="K129" s="37"/>
      <c r="L129" s="26"/>
      <c r="M129" s="26"/>
      <c r="N129" s="26"/>
      <c r="O129" s="96" t="str">
        <f t="shared" si="6"/>
        <v>-</v>
      </c>
      <c r="P129" s="98" t="str">
        <f t="shared" si="9"/>
        <v>-</v>
      </c>
    </row>
    <row r="130" spans="3:16" x14ac:dyDescent="0.25">
      <c r="C130" s="26"/>
      <c r="D130" s="116"/>
      <c r="E130" s="29"/>
      <c r="F130" s="93" t="str">
        <f t="shared" si="8"/>
        <v>-</v>
      </c>
      <c r="H130" s="120"/>
      <c r="I130" s="26"/>
      <c r="J130" s="102" t="str">
        <f>IFERROR(MIN('MP Calculations'!$E$29/I130,1),"-")</f>
        <v>-</v>
      </c>
      <c r="K130" s="37"/>
      <c r="L130" s="26"/>
      <c r="M130" s="26"/>
      <c r="N130" s="26"/>
      <c r="O130" s="96" t="str">
        <f t="shared" si="6"/>
        <v>-</v>
      </c>
      <c r="P130" s="98" t="str">
        <f t="shared" si="9"/>
        <v>-</v>
      </c>
    </row>
    <row r="131" spans="3:16" x14ac:dyDescent="0.25">
      <c r="C131" s="26"/>
      <c r="D131" s="116"/>
      <c r="E131" s="29"/>
      <c r="F131" s="93" t="str">
        <f t="shared" si="8"/>
        <v>-</v>
      </c>
      <c r="H131" s="120"/>
      <c r="I131" s="26"/>
      <c r="J131" s="102" t="str">
        <f>IFERROR(MIN('MP Calculations'!$E$29/I131,1),"-")</f>
        <v>-</v>
      </c>
      <c r="K131" s="37"/>
      <c r="L131" s="26"/>
      <c r="M131" s="26"/>
      <c r="N131" s="26"/>
      <c r="O131" s="96" t="str">
        <f t="shared" si="6"/>
        <v>-</v>
      </c>
      <c r="P131" s="98" t="str">
        <f t="shared" si="9"/>
        <v>-</v>
      </c>
    </row>
    <row r="132" spans="3:16" x14ac:dyDescent="0.25">
      <c r="C132" s="26"/>
      <c r="D132" s="116"/>
      <c r="E132" s="29"/>
      <c r="F132" s="93" t="str">
        <f t="shared" si="8"/>
        <v>-</v>
      </c>
      <c r="H132" s="120"/>
      <c r="I132" s="26"/>
      <c r="J132" s="102" t="str">
        <f>IFERROR(MIN('MP Calculations'!$E$29/I132,1),"-")</f>
        <v>-</v>
      </c>
      <c r="K132" s="37"/>
      <c r="L132" s="26"/>
      <c r="M132" s="26"/>
      <c r="N132" s="26"/>
      <c r="O132" s="96" t="str">
        <f t="shared" si="6"/>
        <v>-</v>
      </c>
      <c r="P132" s="98" t="str">
        <f t="shared" si="9"/>
        <v>-</v>
      </c>
    </row>
    <row r="133" spans="3:16" x14ac:dyDescent="0.25">
      <c r="C133" s="26"/>
      <c r="D133" s="116"/>
      <c r="E133" s="29"/>
      <c r="F133" s="93" t="str">
        <f t="shared" si="8"/>
        <v>-</v>
      </c>
      <c r="H133" s="120"/>
      <c r="I133" s="26"/>
      <c r="J133" s="102" t="str">
        <f>IFERROR(MIN('MP Calculations'!$E$29/I133,1),"-")</f>
        <v>-</v>
      </c>
      <c r="K133" s="37"/>
      <c r="L133" s="26"/>
      <c r="M133" s="26"/>
      <c r="N133" s="26"/>
      <c r="O133" s="96" t="str">
        <f t="shared" si="6"/>
        <v>-</v>
      </c>
      <c r="P133" s="98" t="str">
        <f t="shared" si="9"/>
        <v>-</v>
      </c>
    </row>
    <row r="134" spans="3:16" x14ac:dyDescent="0.25">
      <c r="C134" s="26"/>
      <c r="D134" s="116"/>
      <c r="E134" s="29"/>
      <c r="F134" s="93" t="str">
        <f t="shared" si="8"/>
        <v>-</v>
      </c>
      <c r="H134" s="120"/>
      <c r="I134" s="26"/>
      <c r="J134" s="102" t="str">
        <f>IFERROR(MIN('MP Calculations'!$E$29/I134,1),"-")</f>
        <v>-</v>
      </c>
      <c r="K134" s="37"/>
      <c r="L134" s="26"/>
      <c r="M134" s="26"/>
      <c r="N134" s="26"/>
      <c r="O134" s="96" t="str">
        <f t="shared" si="6"/>
        <v>-</v>
      </c>
      <c r="P134" s="98" t="str">
        <f t="shared" si="9"/>
        <v>-</v>
      </c>
    </row>
    <row r="135" spans="3:16" x14ac:dyDescent="0.25">
      <c r="C135" s="26"/>
      <c r="D135" s="116"/>
      <c r="E135" s="29"/>
      <c r="F135" s="93" t="str">
        <f t="shared" si="8"/>
        <v>-</v>
      </c>
      <c r="H135" s="120"/>
      <c r="I135" s="26"/>
      <c r="J135" s="102" t="str">
        <f>IFERROR(MIN('MP Calculations'!$E$29/I135,1),"-")</f>
        <v>-</v>
      </c>
      <c r="K135" s="37"/>
      <c r="L135" s="26"/>
      <c r="M135" s="26"/>
      <c r="N135" s="26"/>
      <c r="O135" s="96" t="str">
        <f t="shared" si="6"/>
        <v>-</v>
      </c>
      <c r="P135" s="98" t="str">
        <f t="shared" si="9"/>
        <v>-</v>
      </c>
    </row>
    <row r="136" spans="3:16" x14ac:dyDescent="0.25">
      <c r="C136" s="26"/>
      <c r="D136" s="116"/>
      <c r="E136" s="29"/>
      <c r="F136" s="93" t="str">
        <f t="shared" si="8"/>
        <v>-</v>
      </c>
      <c r="H136" s="120"/>
      <c r="I136" s="26"/>
      <c r="J136" s="102" t="str">
        <f>IFERROR(MIN('MP Calculations'!$E$29/I136,1),"-")</f>
        <v>-</v>
      </c>
      <c r="K136" s="37"/>
      <c r="L136" s="26"/>
      <c r="M136" s="26"/>
      <c r="N136" s="26"/>
      <c r="O136" s="96" t="str">
        <f t="shared" si="6"/>
        <v>-</v>
      </c>
      <c r="P136" s="98" t="str">
        <f t="shared" si="9"/>
        <v>-</v>
      </c>
    </row>
    <row r="137" spans="3:16" x14ac:dyDescent="0.25">
      <c r="C137" s="26"/>
      <c r="D137" s="116"/>
      <c r="E137" s="29"/>
      <c r="F137" s="93" t="str">
        <f t="shared" si="8"/>
        <v>-</v>
      </c>
      <c r="H137" s="120"/>
      <c r="I137" s="26"/>
      <c r="J137" s="102" t="str">
        <f>IFERROR(MIN('MP Calculations'!$E$29/I137,1),"-")</f>
        <v>-</v>
      </c>
      <c r="K137" s="37"/>
      <c r="L137" s="26"/>
      <c r="M137" s="26"/>
      <c r="N137" s="26"/>
      <c r="O137" s="96" t="str">
        <f t="shared" si="6"/>
        <v>-</v>
      </c>
      <c r="P137" s="98" t="str">
        <f t="shared" si="9"/>
        <v>-</v>
      </c>
    </row>
    <row r="138" spans="3:16" x14ac:dyDescent="0.25">
      <c r="C138" s="26"/>
      <c r="D138" s="116"/>
      <c r="E138" s="29"/>
      <c r="F138" s="93" t="str">
        <f t="shared" si="8"/>
        <v>-</v>
      </c>
      <c r="H138" s="120"/>
      <c r="I138" s="26"/>
      <c r="J138" s="102" t="str">
        <f>IFERROR(MIN('MP Calculations'!$E$29/I138,1),"-")</f>
        <v>-</v>
      </c>
      <c r="K138" s="37"/>
      <c r="L138" s="26"/>
      <c r="M138" s="26"/>
      <c r="N138" s="26"/>
      <c r="O138" s="96" t="str">
        <f t="shared" si="6"/>
        <v>-</v>
      </c>
      <c r="P138" s="98" t="str">
        <f t="shared" si="9"/>
        <v>-</v>
      </c>
    </row>
    <row r="139" spans="3:16" x14ac:dyDescent="0.25">
      <c r="C139" s="26"/>
      <c r="D139" s="116"/>
      <c r="E139" s="29"/>
      <c r="F139" s="93" t="str">
        <f t="shared" si="8"/>
        <v>-</v>
      </c>
      <c r="H139" s="120"/>
      <c r="I139" s="26"/>
      <c r="J139" s="102" t="str">
        <f>IFERROR(MIN('MP Calculations'!$E$29/I139,1),"-")</f>
        <v>-</v>
      </c>
      <c r="K139" s="37"/>
      <c r="L139" s="26"/>
      <c r="M139" s="26"/>
      <c r="N139" s="26"/>
      <c r="O139" s="96" t="str">
        <f t="shared" si="6"/>
        <v>-</v>
      </c>
      <c r="P139" s="98" t="str">
        <f t="shared" si="9"/>
        <v>-</v>
      </c>
    </row>
    <row r="140" spans="3:16" x14ac:dyDescent="0.25">
      <c r="C140" s="26"/>
      <c r="D140" s="116"/>
      <c r="E140" s="29"/>
      <c r="F140" s="93" t="str">
        <f t="shared" si="8"/>
        <v>-</v>
      </c>
      <c r="H140" s="120"/>
      <c r="I140" s="26"/>
      <c r="J140" s="102" t="str">
        <f>IFERROR(MIN('MP Calculations'!$E$29/I140,1),"-")</f>
        <v>-</v>
      </c>
      <c r="K140" s="37"/>
      <c r="L140" s="26"/>
      <c r="M140" s="26"/>
      <c r="N140" s="26"/>
      <c r="O140" s="96" t="str">
        <f t="shared" si="6"/>
        <v>-</v>
      </c>
      <c r="P140" s="98" t="str">
        <f t="shared" si="9"/>
        <v>-</v>
      </c>
    </row>
    <row r="141" spans="3:16" x14ac:dyDescent="0.25">
      <c r="C141" s="26"/>
      <c r="D141" s="116"/>
      <c r="E141" s="29"/>
      <c r="F141" s="93" t="str">
        <f t="shared" si="8"/>
        <v>-</v>
      </c>
      <c r="H141" s="120"/>
      <c r="I141" s="26"/>
      <c r="J141" s="102" t="str">
        <f>IFERROR(MIN('MP Calculations'!$E$29/I141,1),"-")</f>
        <v>-</v>
      </c>
      <c r="K141" s="37"/>
      <c r="L141" s="26"/>
      <c r="M141" s="26"/>
      <c r="N141" s="26"/>
      <c r="O141" s="96" t="str">
        <f t="shared" si="6"/>
        <v>-</v>
      </c>
      <c r="P141" s="98" t="str">
        <f t="shared" si="9"/>
        <v>-</v>
      </c>
    </row>
    <row r="142" spans="3:16" x14ac:dyDescent="0.25">
      <c r="C142" s="26"/>
      <c r="D142" s="116"/>
      <c r="E142" s="29"/>
      <c r="F142" s="93" t="str">
        <f t="shared" si="8"/>
        <v>-</v>
      </c>
      <c r="H142" s="120"/>
      <c r="I142" s="26"/>
      <c r="J142" s="102" t="str">
        <f>IFERROR(MIN('MP Calculations'!$E$29/I142,1),"-")</f>
        <v>-</v>
      </c>
      <c r="K142" s="37"/>
      <c r="L142" s="26"/>
      <c r="M142" s="26"/>
      <c r="N142" s="26"/>
      <c r="O142" s="96" t="str">
        <f t="shared" si="6"/>
        <v>-</v>
      </c>
      <c r="P142" s="98" t="str">
        <f t="shared" si="9"/>
        <v>-</v>
      </c>
    </row>
    <row r="143" spans="3:16" x14ac:dyDescent="0.25">
      <c r="C143" s="26"/>
      <c r="D143" s="116"/>
      <c r="E143" s="29"/>
      <c r="F143" s="93" t="str">
        <f t="shared" si="8"/>
        <v>-</v>
      </c>
      <c r="H143" s="120"/>
      <c r="I143" s="26"/>
      <c r="J143" s="102" t="str">
        <f>IFERROR(MIN('MP Calculations'!$E$29/I143,1),"-")</f>
        <v>-</v>
      </c>
      <c r="K143" s="37"/>
      <c r="L143" s="26"/>
      <c r="M143" s="26"/>
      <c r="N143" s="26"/>
      <c r="O143" s="96" t="str">
        <f t="shared" si="6"/>
        <v>-</v>
      </c>
      <c r="P143" s="98" t="str">
        <f t="shared" si="9"/>
        <v>-</v>
      </c>
    </row>
    <row r="144" spans="3:16" x14ac:dyDescent="0.25">
      <c r="C144" s="26"/>
      <c r="D144" s="116"/>
      <c r="E144" s="29"/>
      <c r="F144" s="93" t="str">
        <f t="shared" si="8"/>
        <v>-</v>
      </c>
      <c r="H144" s="120"/>
      <c r="I144" s="26"/>
      <c r="J144" s="102" t="str">
        <f>IFERROR(MIN('MP Calculations'!$E$29/I144,1),"-")</f>
        <v>-</v>
      </c>
      <c r="K144" s="37"/>
      <c r="L144" s="26"/>
      <c r="M144" s="26"/>
      <c r="N144" s="26"/>
      <c r="O144" s="96" t="str">
        <f t="shared" si="6"/>
        <v>-</v>
      </c>
      <c r="P144" s="98" t="str">
        <f t="shared" si="9"/>
        <v>-</v>
      </c>
    </row>
    <row r="145" spans="3:16" x14ac:dyDescent="0.25">
      <c r="C145" s="26"/>
      <c r="D145" s="116"/>
      <c r="E145" s="29"/>
      <c r="F145" s="93" t="str">
        <f t="shared" si="8"/>
        <v>-</v>
      </c>
      <c r="H145" s="120"/>
      <c r="I145" s="26"/>
      <c r="J145" s="102" t="str">
        <f>IFERROR(MIN('MP Calculations'!$E$29/I145,1),"-")</f>
        <v>-</v>
      </c>
      <c r="K145" s="37"/>
      <c r="L145" s="26"/>
      <c r="M145" s="26"/>
      <c r="N145" s="26"/>
      <c r="O145" s="96" t="str">
        <f t="shared" si="6"/>
        <v>-</v>
      </c>
      <c r="P145" s="98" t="str">
        <f t="shared" si="9"/>
        <v>-</v>
      </c>
    </row>
    <row r="146" spans="3:16" x14ac:dyDescent="0.25">
      <c r="C146" s="26"/>
      <c r="D146" s="116"/>
      <c r="E146" s="29"/>
      <c r="F146" s="93" t="str">
        <f t="shared" si="8"/>
        <v>-</v>
      </c>
      <c r="H146" s="120"/>
      <c r="I146" s="26"/>
      <c r="J146" s="102" t="str">
        <f>IFERROR(MIN('MP Calculations'!$E$29/I146,1),"-")</f>
        <v>-</v>
      </c>
      <c r="K146" s="37"/>
      <c r="L146" s="26"/>
      <c r="M146" s="26"/>
      <c r="N146" s="26"/>
      <c r="O146" s="96" t="str">
        <f t="shared" si="6"/>
        <v>-</v>
      </c>
      <c r="P146" s="98" t="str">
        <f t="shared" si="9"/>
        <v>-</v>
      </c>
    </row>
    <row r="147" spans="3:16" x14ac:dyDescent="0.25">
      <c r="C147" s="26"/>
      <c r="D147" s="116"/>
      <c r="E147" s="29"/>
      <c r="F147" s="93" t="str">
        <f t="shared" si="8"/>
        <v>-</v>
      </c>
      <c r="H147" s="120"/>
      <c r="I147" s="26"/>
      <c r="J147" s="102" t="str">
        <f>IFERROR(MIN('MP Calculations'!$E$29/I147,1),"-")</f>
        <v>-</v>
      </c>
      <c r="K147" s="37"/>
      <c r="L147" s="26"/>
      <c r="M147" s="26"/>
      <c r="N147" s="26"/>
      <c r="O147" s="96" t="str">
        <f t="shared" si="6"/>
        <v>-</v>
      </c>
      <c r="P147" s="98" t="str">
        <f t="shared" si="9"/>
        <v>-</v>
      </c>
    </row>
    <row r="148" spans="3:16" x14ac:dyDescent="0.25">
      <c r="C148" s="26"/>
      <c r="D148" s="116"/>
      <c r="E148" s="29"/>
      <c r="F148" s="93" t="str">
        <f t="shared" si="8"/>
        <v>-</v>
      </c>
      <c r="H148" s="120"/>
      <c r="I148" s="26"/>
      <c r="J148" s="102" t="str">
        <f>IFERROR(MIN('MP Calculations'!$E$29/I148,1),"-")</f>
        <v>-</v>
      </c>
      <c r="K148" s="37"/>
      <c r="L148" s="26"/>
      <c r="M148" s="26"/>
      <c r="N148" s="26"/>
      <c r="O148" s="96" t="str">
        <f t="shared" si="6"/>
        <v>-</v>
      </c>
      <c r="P148" s="98" t="str">
        <f t="shared" si="9"/>
        <v>-</v>
      </c>
    </row>
    <row r="149" spans="3:16" x14ac:dyDescent="0.25">
      <c r="C149" s="26"/>
      <c r="D149" s="116"/>
      <c r="E149" s="29"/>
      <c r="F149" s="93" t="str">
        <f t="shared" si="8"/>
        <v>-</v>
      </c>
      <c r="H149" s="120"/>
      <c r="I149" s="26"/>
      <c r="J149" s="102" t="str">
        <f>IFERROR(MIN('MP Calculations'!$E$29/I149,1),"-")</f>
        <v>-</v>
      </c>
      <c r="K149" s="37"/>
      <c r="L149" s="26"/>
      <c r="M149" s="26"/>
      <c r="N149" s="26"/>
      <c r="O149" s="96" t="str">
        <f t="shared" si="6"/>
        <v>-</v>
      </c>
      <c r="P149" s="98" t="str">
        <f t="shared" si="9"/>
        <v>-</v>
      </c>
    </row>
    <row r="150" spans="3:16" x14ac:dyDescent="0.25">
      <c r="C150" s="26"/>
      <c r="D150" s="116"/>
      <c r="E150" s="29"/>
      <c r="F150" s="93" t="str">
        <f t="shared" si="8"/>
        <v>-</v>
      </c>
      <c r="H150" s="120"/>
      <c r="I150" s="26"/>
      <c r="J150" s="102" t="str">
        <f>IFERROR(MIN('MP Calculations'!$E$29/I150,1),"-")</f>
        <v>-</v>
      </c>
      <c r="K150" s="37"/>
      <c r="L150" s="26"/>
      <c r="M150" s="26"/>
      <c r="N150" s="26"/>
      <c r="O150" s="96" t="str">
        <f t="shared" si="6"/>
        <v>-</v>
      </c>
      <c r="P150" s="98" t="str">
        <f t="shared" si="9"/>
        <v>-</v>
      </c>
    </row>
    <row r="151" spans="3:16" x14ac:dyDescent="0.25">
      <c r="C151" s="26"/>
      <c r="D151" s="116"/>
      <c r="E151" s="29"/>
      <c r="F151" s="93" t="str">
        <f t="shared" si="8"/>
        <v>-</v>
      </c>
      <c r="H151" s="120"/>
      <c r="I151" s="26"/>
      <c r="J151" s="102" t="str">
        <f>IFERROR(MIN('MP Calculations'!$E$29/I151,1),"-")</f>
        <v>-</v>
      </c>
      <c r="K151" s="37"/>
      <c r="L151" s="26"/>
      <c r="M151" s="26"/>
      <c r="N151" s="26"/>
      <c r="O151" s="96" t="str">
        <f t="shared" ref="O151:O214" si="10">IF(N151="","-",L151*N151)</f>
        <v>-</v>
      </c>
      <c r="P151" s="98" t="str">
        <f t="shared" si="9"/>
        <v>-</v>
      </c>
    </row>
    <row r="152" spans="3:16" x14ac:dyDescent="0.25">
      <c r="C152" s="26"/>
      <c r="D152" s="116"/>
      <c r="E152" s="29"/>
      <c r="F152" s="93" t="str">
        <f t="shared" si="8"/>
        <v>-</v>
      </c>
      <c r="H152" s="120"/>
      <c r="I152" s="26"/>
      <c r="J152" s="102" t="str">
        <f>IFERROR(MIN('MP Calculations'!$E$29/I152,1),"-")</f>
        <v>-</v>
      </c>
      <c r="K152" s="37"/>
      <c r="L152" s="26"/>
      <c r="M152" s="26"/>
      <c r="N152" s="26"/>
      <c r="O152" s="96" t="str">
        <f t="shared" si="10"/>
        <v>-</v>
      </c>
      <c r="P152" s="98" t="str">
        <f t="shared" si="9"/>
        <v>-</v>
      </c>
    </row>
    <row r="153" spans="3:16" x14ac:dyDescent="0.25">
      <c r="C153" s="26"/>
      <c r="D153" s="116"/>
      <c r="E153" s="29"/>
      <c r="F153" s="93" t="str">
        <f t="shared" si="8"/>
        <v>-</v>
      </c>
      <c r="H153" s="120"/>
      <c r="I153" s="26"/>
      <c r="J153" s="102" t="str">
        <f>IFERROR(MIN('MP Calculations'!$E$29/I153,1),"-")</f>
        <v>-</v>
      </c>
      <c r="K153" s="37"/>
      <c r="L153" s="26"/>
      <c r="M153" s="26"/>
      <c r="N153" s="26"/>
      <c r="O153" s="96" t="str">
        <f t="shared" si="10"/>
        <v>-</v>
      </c>
      <c r="P153" s="98" t="str">
        <f t="shared" si="9"/>
        <v>-</v>
      </c>
    </row>
    <row r="154" spans="3:16" x14ac:dyDescent="0.25">
      <c r="C154" s="26"/>
      <c r="D154" s="116"/>
      <c r="E154" s="29"/>
      <c r="F154" s="93" t="str">
        <f t="shared" si="8"/>
        <v>-</v>
      </c>
      <c r="H154" s="120"/>
      <c r="I154" s="26"/>
      <c r="J154" s="102" t="str">
        <f>IFERROR(MIN('MP Calculations'!$E$29/I154,1),"-")</f>
        <v>-</v>
      </c>
      <c r="K154" s="37"/>
      <c r="L154" s="26"/>
      <c r="M154" s="26"/>
      <c r="N154" s="26"/>
      <c r="O154" s="96" t="str">
        <f t="shared" si="10"/>
        <v>-</v>
      </c>
      <c r="P154" s="98" t="str">
        <f t="shared" si="9"/>
        <v>-</v>
      </c>
    </row>
    <row r="155" spans="3:16" x14ac:dyDescent="0.25">
      <c r="C155" s="26"/>
      <c r="D155" s="116"/>
      <c r="E155" s="29"/>
      <c r="F155" s="93" t="str">
        <f t="shared" si="8"/>
        <v>-</v>
      </c>
      <c r="H155" s="120"/>
      <c r="I155" s="26"/>
      <c r="J155" s="102" t="str">
        <f>IFERROR(MIN('MP Calculations'!$E$29/I155,1),"-")</f>
        <v>-</v>
      </c>
      <c r="K155" s="37"/>
      <c r="L155" s="26"/>
      <c r="M155" s="26"/>
      <c r="N155" s="26"/>
      <c r="O155" s="96" t="str">
        <f t="shared" si="10"/>
        <v>-</v>
      </c>
      <c r="P155" s="98" t="str">
        <f t="shared" si="9"/>
        <v>-</v>
      </c>
    </row>
    <row r="156" spans="3:16" x14ac:dyDescent="0.25">
      <c r="C156" s="26"/>
      <c r="D156" s="116"/>
      <c r="E156" s="29"/>
      <c r="F156" s="93" t="str">
        <f t="shared" si="8"/>
        <v>-</v>
      </c>
      <c r="H156" s="120"/>
      <c r="I156" s="26"/>
      <c r="J156" s="102" t="str">
        <f>IFERROR(MIN('MP Calculations'!$E$29/I156,1),"-")</f>
        <v>-</v>
      </c>
      <c r="K156" s="37"/>
      <c r="L156" s="26"/>
      <c r="M156" s="26"/>
      <c r="N156" s="26"/>
      <c r="O156" s="96" t="str">
        <f t="shared" si="10"/>
        <v>-</v>
      </c>
      <c r="P156" s="98" t="str">
        <f t="shared" si="9"/>
        <v>-</v>
      </c>
    </row>
    <row r="157" spans="3:16" x14ac:dyDescent="0.25">
      <c r="C157" s="26"/>
      <c r="D157" s="116"/>
      <c r="E157" s="29"/>
      <c r="F157" s="93" t="str">
        <f t="shared" si="8"/>
        <v>-</v>
      </c>
      <c r="H157" s="120"/>
      <c r="I157" s="26"/>
      <c r="J157" s="102" t="str">
        <f>IFERROR(MIN('MP Calculations'!$E$29/I157,1),"-")</f>
        <v>-</v>
      </c>
      <c r="K157" s="37"/>
      <c r="L157" s="26"/>
      <c r="M157" s="26"/>
      <c r="N157" s="26"/>
      <c r="O157" s="96" t="str">
        <f t="shared" si="10"/>
        <v>-</v>
      </c>
      <c r="P157" s="98" t="str">
        <f t="shared" si="9"/>
        <v>-</v>
      </c>
    </row>
    <row r="158" spans="3:16" x14ac:dyDescent="0.25">
      <c r="C158" s="26"/>
      <c r="D158" s="116"/>
      <c r="E158" s="29"/>
      <c r="F158" s="93" t="str">
        <f t="shared" si="8"/>
        <v>-</v>
      </c>
      <c r="H158" s="120"/>
      <c r="I158" s="26"/>
      <c r="J158" s="102" t="str">
        <f>IFERROR(MIN('MP Calculations'!$E$29/I158,1),"-")</f>
        <v>-</v>
      </c>
      <c r="K158" s="37"/>
      <c r="L158" s="26"/>
      <c r="M158" s="26"/>
      <c r="N158" s="26"/>
      <c r="O158" s="96" t="str">
        <f t="shared" si="10"/>
        <v>-</v>
      </c>
      <c r="P158" s="98" t="str">
        <f t="shared" si="9"/>
        <v>-</v>
      </c>
    </row>
    <row r="159" spans="3:16" x14ac:dyDescent="0.25">
      <c r="C159" s="26"/>
      <c r="D159" s="116"/>
      <c r="E159" s="29"/>
      <c r="F159" s="93" t="str">
        <f t="shared" si="8"/>
        <v>-</v>
      </c>
      <c r="H159" s="120"/>
      <c r="I159" s="26"/>
      <c r="J159" s="102" t="str">
        <f>IFERROR(MIN('MP Calculations'!$E$29/I159,1),"-")</f>
        <v>-</v>
      </c>
      <c r="K159" s="37"/>
      <c r="L159" s="26"/>
      <c r="M159" s="26"/>
      <c r="N159" s="26"/>
      <c r="O159" s="96" t="str">
        <f t="shared" si="10"/>
        <v>-</v>
      </c>
      <c r="P159" s="98" t="str">
        <f t="shared" si="9"/>
        <v>-</v>
      </c>
    </row>
    <row r="160" spans="3:16" x14ac:dyDescent="0.25">
      <c r="C160" s="26"/>
      <c r="D160" s="116"/>
      <c r="E160" s="29"/>
      <c r="F160" s="93" t="str">
        <f t="shared" si="8"/>
        <v>-</v>
      </c>
      <c r="H160" s="120"/>
      <c r="I160" s="26"/>
      <c r="J160" s="102" t="str">
        <f>IFERROR(MIN('MP Calculations'!$E$29/I160,1),"-")</f>
        <v>-</v>
      </c>
      <c r="K160" s="37"/>
      <c r="L160" s="26"/>
      <c r="M160" s="26"/>
      <c r="N160" s="26"/>
      <c r="O160" s="96" t="str">
        <f t="shared" si="10"/>
        <v>-</v>
      </c>
      <c r="P160" s="98" t="str">
        <f t="shared" si="9"/>
        <v>-</v>
      </c>
    </row>
    <row r="161" spans="3:16" x14ac:dyDescent="0.25">
      <c r="C161" s="26"/>
      <c r="D161" s="116"/>
      <c r="E161" s="29"/>
      <c r="F161" s="93" t="str">
        <f t="shared" si="8"/>
        <v>-</v>
      </c>
      <c r="H161" s="120"/>
      <c r="I161" s="26"/>
      <c r="J161" s="102" t="str">
        <f>IFERROR(MIN('MP Calculations'!$E$29/I161,1),"-")</f>
        <v>-</v>
      </c>
      <c r="K161" s="37"/>
      <c r="L161" s="26"/>
      <c r="M161" s="26"/>
      <c r="N161" s="26"/>
      <c r="O161" s="96" t="str">
        <f t="shared" si="10"/>
        <v>-</v>
      </c>
      <c r="P161" s="98" t="str">
        <f t="shared" si="9"/>
        <v>-</v>
      </c>
    </row>
    <row r="162" spans="3:16" x14ac:dyDescent="0.25">
      <c r="C162" s="26"/>
      <c r="D162" s="116"/>
      <c r="E162" s="29"/>
      <c r="F162" s="93" t="str">
        <f t="shared" si="8"/>
        <v>-</v>
      </c>
      <c r="H162" s="120"/>
      <c r="I162" s="26"/>
      <c r="J162" s="102" t="str">
        <f>IFERROR(MIN('MP Calculations'!$E$29/I162,1),"-")</f>
        <v>-</v>
      </c>
      <c r="K162" s="37"/>
      <c r="L162" s="26"/>
      <c r="M162" s="26"/>
      <c r="N162" s="26"/>
      <c r="O162" s="96" t="str">
        <f t="shared" si="10"/>
        <v>-</v>
      </c>
      <c r="P162" s="98" t="str">
        <f t="shared" si="9"/>
        <v>-</v>
      </c>
    </row>
    <row r="163" spans="3:16" x14ac:dyDescent="0.25">
      <c r="C163" s="26"/>
      <c r="D163" s="116"/>
      <c r="E163" s="29"/>
      <c r="F163" s="93" t="str">
        <f t="shared" si="8"/>
        <v>-</v>
      </c>
      <c r="H163" s="120"/>
      <c r="I163" s="26"/>
      <c r="J163" s="102" t="str">
        <f>IFERROR(MIN('MP Calculations'!$E$29/I163,1),"-")</f>
        <v>-</v>
      </c>
      <c r="K163" s="37"/>
      <c r="L163" s="26"/>
      <c r="M163" s="26"/>
      <c r="N163" s="26"/>
      <c r="O163" s="96" t="str">
        <f t="shared" si="10"/>
        <v>-</v>
      </c>
      <c r="P163" s="98" t="str">
        <f t="shared" si="9"/>
        <v>-</v>
      </c>
    </row>
    <row r="164" spans="3:16" x14ac:dyDescent="0.25">
      <c r="C164" s="26"/>
      <c r="D164" s="116"/>
      <c r="E164" s="29"/>
      <c r="F164" s="93" t="str">
        <f t="shared" si="8"/>
        <v>-</v>
      </c>
      <c r="H164" s="120"/>
      <c r="I164" s="26"/>
      <c r="J164" s="102" t="str">
        <f>IFERROR(MIN('MP Calculations'!$E$29/I164,1),"-")</f>
        <v>-</v>
      </c>
      <c r="K164" s="37"/>
      <c r="L164" s="26"/>
      <c r="M164" s="26"/>
      <c r="N164" s="26"/>
      <c r="O164" s="96" t="str">
        <f t="shared" si="10"/>
        <v>-</v>
      </c>
      <c r="P164" s="98" t="str">
        <f t="shared" si="9"/>
        <v>-</v>
      </c>
    </row>
    <row r="165" spans="3:16" x14ac:dyDescent="0.25">
      <c r="C165" s="26"/>
      <c r="D165" s="116"/>
      <c r="E165" s="29"/>
      <c r="F165" s="93" t="str">
        <f t="shared" si="8"/>
        <v>-</v>
      </c>
      <c r="H165" s="120"/>
      <c r="I165" s="26"/>
      <c r="J165" s="102" t="str">
        <f>IFERROR(MIN('MP Calculations'!$E$29/I165,1),"-")</f>
        <v>-</v>
      </c>
      <c r="K165" s="37"/>
      <c r="L165" s="26"/>
      <c r="M165" s="26"/>
      <c r="N165" s="26"/>
      <c r="O165" s="96" t="str">
        <f t="shared" si="10"/>
        <v>-</v>
      </c>
      <c r="P165" s="98" t="str">
        <f t="shared" si="9"/>
        <v>-</v>
      </c>
    </row>
    <row r="166" spans="3:16" x14ac:dyDescent="0.25">
      <c r="C166" s="26"/>
      <c r="D166" s="116"/>
      <c r="E166" s="29"/>
      <c r="F166" s="93" t="str">
        <f t="shared" si="8"/>
        <v>-</v>
      </c>
      <c r="H166" s="120"/>
      <c r="I166" s="26"/>
      <c r="J166" s="102" t="str">
        <f>IFERROR(MIN('MP Calculations'!$E$29/I166,1),"-")</f>
        <v>-</v>
      </c>
      <c r="K166" s="37"/>
      <c r="L166" s="26"/>
      <c r="M166" s="26"/>
      <c r="N166" s="26"/>
      <c r="O166" s="96" t="str">
        <f t="shared" si="10"/>
        <v>-</v>
      </c>
      <c r="P166" s="98" t="str">
        <f t="shared" si="9"/>
        <v>-</v>
      </c>
    </row>
    <row r="167" spans="3:16" x14ac:dyDescent="0.25">
      <c r="C167" s="26"/>
      <c r="D167" s="116"/>
      <c r="E167" s="29"/>
      <c r="F167" s="93" t="str">
        <f t="shared" si="8"/>
        <v>-</v>
      </c>
      <c r="H167" s="120"/>
      <c r="I167" s="26"/>
      <c r="J167" s="102" t="str">
        <f>IFERROR(MIN('MP Calculations'!$E$29/I167,1),"-")</f>
        <v>-</v>
      </c>
      <c r="K167" s="37"/>
      <c r="L167" s="26"/>
      <c r="M167" s="26"/>
      <c r="N167" s="26"/>
      <c r="O167" s="96" t="str">
        <f t="shared" si="10"/>
        <v>-</v>
      </c>
      <c r="P167" s="98" t="str">
        <f t="shared" si="9"/>
        <v>-</v>
      </c>
    </row>
    <row r="168" spans="3:16" x14ac:dyDescent="0.25">
      <c r="C168" s="26"/>
      <c r="D168" s="116"/>
      <c r="E168" s="29"/>
      <c r="F168" s="93" t="str">
        <f t="shared" si="8"/>
        <v>-</v>
      </c>
      <c r="H168" s="120"/>
      <c r="I168" s="26"/>
      <c r="J168" s="102" t="str">
        <f>IFERROR(MIN('MP Calculations'!$E$29/I168,1),"-")</f>
        <v>-</v>
      </c>
      <c r="K168" s="37"/>
      <c r="L168" s="26"/>
      <c r="M168" s="26"/>
      <c r="N168" s="26"/>
      <c r="O168" s="96" t="str">
        <f t="shared" si="10"/>
        <v>-</v>
      </c>
      <c r="P168" s="98" t="str">
        <f t="shared" si="9"/>
        <v>-</v>
      </c>
    </row>
    <row r="169" spans="3:16" x14ac:dyDescent="0.25">
      <c r="C169" s="26"/>
      <c r="D169" s="116"/>
      <c r="E169" s="29"/>
      <c r="F169" s="93" t="str">
        <f t="shared" si="8"/>
        <v>-</v>
      </c>
      <c r="H169" s="120"/>
      <c r="I169" s="26"/>
      <c r="J169" s="102" t="str">
        <f>IFERROR(MIN('MP Calculations'!$E$29/I169,1),"-")</f>
        <v>-</v>
      </c>
      <c r="K169" s="37"/>
      <c r="L169" s="26"/>
      <c r="M169" s="26"/>
      <c r="N169" s="26"/>
      <c r="O169" s="96" t="str">
        <f t="shared" si="10"/>
        <v>-</v>
      </c>
      <c r="P169" s="98" t="str">
        <f t="shared" si="9"/>
        <v>-</v>
      </c>
    </row>
    <row r="170" spans="3:16" x14ac:dyDescent="0.25">
      <c r="C170" s="26"/>
      <c r="D170" s="116"/>
      <c r="E170" s="29"/>
      <c r="F170" s="93" t="str">
        <f t="shared" si="8"/>
        <v>-</v>
      </c>
      <c r="H170" s="120"/>
      <c r="I170" s="26"/>
      <c r="J170" s="102" t="str">
        <f>IFERROR(MIN('MP Calculations'!$E$29/I170,1),"-")</f>
        <v>-</v>
      </c>
      <c r="K170" s="37"/>
      <c r="L170" s="26"/>
      <c r="M170" s="26"/>
      <c r="N170" s="26"/>
      <c r="O170" s="96" t="str">
        <f t="shared" si="10"/>
        <v>-</v>
      </c>
      <c r="P170" s="98" t="str">
        <f t="shared" si="9"/>
        <v>-</v>
      </c>
    </row>
    <row r="171" spans="3:16" x14ac:dyDescent="0.25">
      <c r="C171" s="26"/>
      <c r="D171" s="116"/>
      <c r="E171" s="29"/>
      <c r="F171" s="93" t="str">
        <f t="shared" si="8"/>
        <v>-</v>
      </c>
      <c r="H171" s="120"/>
      <c r="I171" s="26"/>
      <c r="J171" s="102" t="str">
        <f>IFERROR(MIN('MP Calculations'!$E$29/I171,1),"-")</f>
        <v>-</v>
      </c>
      <c r="K171" s="37"/>
      <c r="L171" s="26"/>
      <c r="M171" s="26"/>
      <c r="N171" s="26"/>
      <c r="O171" s="96" t="str">
        <f t="shared" si="10"/>
        <v>-</v>
      </c>
      <c r="P171" s="98" t="str">
        <f t="shared" si="9"/>
        <v>-</v>
      </c>
    </row>
    <row r="172" spans="3:16" x14ac:dyDescent="0.25">
      <c r="C172" s="26"/>
      <c r="D172" s="116"/>
      <c r="E172" s="29"/>
      <c r="F172" s="93" t="str">
        <f t="shared" si="8"/>
        <v>-</v>
      </c>
      <c r="H172" s="120"/>
      <c r="I172" s="26"/>
      <c r="J172" s="102" t="str">
        <f>IFERROR(MIN('MP Calculations'!$E$29/I172,1),"-")</f>
        <v>-</v>
      </c>
      <c r="K172" s="37"/>
      <c r="L172" s="26"/>
      <c r="M172" s="26"/>
      <c r="N172" s="26"/>
      <c r="O172" s="96" t="str">
        <f t="shared" si="10"/>
        <v>-</v>
      </c>
      <c r="P172" s="98" t="str">
        <f t="shared" si="9"/>
        <v>-</v>
      </c>
    </row>
    <row r="173" spans="3:16" x14ac:dyDescent="0.25">
      <c r="C173" s="26"/>
      <c r="D173" s="116"/>
      <c r="E173" s="29"/>
      <c r="F173" s="93" t="str">
        <f t="shared" si="8"/>
        <v>-</v>
      </c>
      <c r="H173" s="120"/>
      <c r="I173" s="26"/>
      <c r="J173" s="102" t="str">
        <f>IFERROR(MIN('MP Calculations'!$E$29/I173,1),"-")</f>
        <v>-</v>
      </c>
      <c r="K173" s="37"/>
      <c r="L173" s="26"/>
      <c r="M173" s="26"/>
      <c r="N173" s="26"/>
      <c r="O173" s="96" t="str">
        <f t="shared" si="10"/>
        <v>-</v>
      </c>
      <c r="P173" s="98" t="str">
        <f t="shared" si="9"/>
        <v>-</v>
      </c>
    </row>
    <row r="174" spans="3:16" x14ac:dyDescent="0.25">
      <c r="C174" s="26"/>
      <c r="D174" s="116"/>
      <c r="E174" s="29"/>
      <c r="F174" s="93" t="str">
        <f t="shared" si="8"/>
        <v>-</v>
      </c>
      <c r="H174" s="120"/>
      <c r="I174" s="26"/>
      <c r="J174" s="102" t="str">
        <f>IFERROR(MIN('MP Calculations'!$E$29/I174,1),"-")</f>
        <v>-</v>
      </c>
      <c r="K174" s="37"/>
      <c r="L174" s="26"/>
      <c r="M174" s="26"/>
      <c r="N174" s="26"/>
      <c r="O174" s="96" t="str">
        <f t="shared" si="10"/>
        <v>-</v>
      </c>
      <c r="P174" s="98" t="str">
        <f t="shared" si="9"/>
        <v>-</v>
      </c>
    </row>
    <row r="175" spans="3:16" x14ac:dyDescent="0.25">
      <c r="C175" s="26"/>
      <c r="D175" s="116"/>
      <c r="E175" s="29"/>
      <c r="F175" s="93" t="str">
        <f t="shared" si="8"/>
        <v>-</v>
      </c>
      <c r="H175" s="120"/>
      <c r="I175" s="26"/>
      <c r="J175" s="102" t="str">
        <f>IFERROR(MIN('MP Calculations'!$E$29/I175,1),"-")</f>
        <v>-</v>
      </c>
      <c r="K175" s="37"/>
      <c r="L175" s="26"/>
      <c r="M175" s="26"/>
      <c r="N175" s="26"/>
      <c r="O175" s="96" t="str">
        <f t="shared" si="10"/>
        <v>-</v>
      </c>
      <c r="P175" s="98" t="str">
        <f t="shared" si="9"/>
        <v>-</v>
      </c>
    </row>
    <row r="176" spans="3:16" x14ac:dyDescent="0.25">
      <c r="C176" s="26"/>
      <c r="D176" s="116"/>
      <c r="E176" s="29"/>
      <c r="F176" s="93" t="str">
        <f t="shared" si="8"/>
        <v>-</v>
      </c>
      <c r="H176" s="120"/>
      <c r="I176" s="26"/>
      <c r="J176" s="102" t="str">
        <f>IFERROR(MIN('MP Calculations'!$E$29/I176,1),"-")</f>
        <v>-</v>
      </c>
      <c r="K176" s="37"/>
      <c r="L176" s="26"/>
      <c r="M176" s="26"/>
      <c r="N176" s="26"/>
      <c r="O176" s="96" t="str">
        <f t="shared" si="10"/>
        <v>-</v>
      </c>
      <c r="P176" s="98" t="str">
        <f t="shared" si="9"/>
        <v>-</v>
      </c>
    </row>
    <row r="177" spans="3:16" x14ac:dyDescent="0.25">
      <c r="C177" s="26"/>
      <c r="D177" s="116"/>
      <c r="E177" s="29"/>
      <c r="F177" s="93" t="str">
        <f t="shared" si="8"/>
        <v>-</v>
      </c>
      <c r="H177" s="120"/>
      <c r="I177" s="26"/>
      <c r="J177" s="102" t="str">
        <f>IFERROR(MIN('MP Calculations'!$E$29/I177,1),"-")</f>
        <v>-</v>
      </c>
      <c r="K177" s="37"/>
      <c r="L177" s="26"/>
      <c r="M177" s="26"/>
      <c r="N177" s="26"/>
      <c r="O177" s="96" t="str">
        <f t="shared" si="10"/>
        <v>-</v>
      </c>
      <c r="P177" s="98" t="str">
        <f t="shared" si="9"/>
        <v>-</v>
      </c>
    </row>
    <row r="178" spans="3:16" x14ac:dyDescent="0.25">
      <c r="C178" s="26"/>
      <c r="D178" s="116"/>
      <c r="E178" s="29"/>
      <c r="F178" s="93" t="str">
        <f t="shared" si="8"/>
        <v>-</v>
      </c>
      <c r="H178" s="120"/>
      <c r="I178" s="26"/>
      <c r="J178" s="102" t="str">
        <f>IFERROR(MIN('MP Calculations'!$E$29/I178,1),"-")</f>
        <v>-</v>
      </c>
      <c r="K178" s="37"/>
      <c r="L178" s="26"/>
      <c r="M178" s="26"/>
      <c r="N178" s="26"/>
      <c r="O178" s="96" t="str">
        <f t="shared" si="10"/>
        <v>-</v>
      </c>
      <c r="P178" s="98" t="str">
        <f t="shared" si="9"/>
        <v>-</v>
      </c>
    </row>
    <row r="179" spans="3:16" x14ac:dyDescent="0.25">
      <c r="C179" s="26"/>
      <c r="D179" s="116"/>
      <c r="E179" s="29"/>
      <c r="F179" s="93" t="str">
        <f t="shared" si="8"/>
        <v>-</v>
      </c>
      <c r="H179" s="120"/>
      <c r="I179" s="26"/>
      <c r="J179" s="102" t="str">
        <f>IFERROR(MIN('MP Calculations'!$E$29/I179,1),"-")</f>
        <v>-</v>
      </c>
      <c r="K179" s="37"/>
      <c r="L179" s="26"/>
      <c r="M179" s="26"/>
      <c r="N179" s="26"/>
      <c r="O179" s="96" t="str">
        <f t="shared" si="10"/>
        <v>-</v>
      </c>
      <c r="P179" s="98" t="str">
        <f t="shared" si="9"/>
        <v>-</v>
      </c>
    </row>
    <row r="180" spans="3:16" x14ac:dyDescent="0.25">
      <c r="C180" s="26"/>
      <c r="D180" s="116"/>
      <c r="E180" s="29"/>
      <c r="F180" s="93" t="str">
        <f t="shared" si="8"/>
        <v>-</v>
      </c>
      <c r="H180" s="120"/>
      <c r="I180" s="26"/>
      <c r="J180" s="102" t="str">
        <f>IFERROR(MIN('MP Calculations'!$E$29/I180,1),"-")</f>
        <v>-</v>
      </c>
      <c r="K180" s="37"/>
      <c r="L180" s="26"/>
      <c r="M180" s="26"/>
      <c r="N180" s="26"/>
      <c r="O180" s="96" t="str">
        <f t="shared" si="10"/>
        <v>-</v>
      </c>
      <c r="P180" s="98" t="str">
        <f t="shared" si="9"/>
        <v>-</v>
      </c>
    </row>
    <row r="181" spans="3:16" x14ac:dyDescent="0.25">
      <c r="C181" s="26"/>
      <c r="D181" s="116"/>
      <c r="E181" s="29"/>
      <c r="F181" s="93" t="str">
        <f t="shared" si="8"/>
        <v>-</v>
      </c>
      <c r="H181" s="120"/>
      <c r="I181" s="26"/>
      <c r="J181" s="102" t="str">
        <f>IFERROR(MIN('MP Calculations'!$E$29/I181,1),"-")</f>
        <v>-</v>
      </c>
      <c r="K181" s="37"/>
      <c r="L181" s="26"/>
      <c r="M181" s="26"/>
      <c r="N181" s="26"/>
      <c r="O181" s="96" t="str">
        <f t="shared" si="10"/>
        <v>-</v>
      </c>
      <c r="P181" s="98" t="str">
        <f t="shared" si="9"/>
        <v>-</v>
      </c>
    </row>
    <row r="182" spans="3:16" x14ac:dyDescent="0.25">
      <c r="C182" s="26"/>
      <c r="D182" s="116"/>
      <c r="E182" s="29"/>
      <c r="F182" s="93" t="str">
        <f t="shared" si="8"/>
        <v>-</v>
      </c>
      <c r="H182" s="120"/>
      <c r="I182" s="26"/>
      <c r="J182" s="102" t="str">
        <f>IFERROR(MIN('MP Calculations'!$E$29/I182,1),"-")</f>
        <v>-</v>
      </c>
      <c r="K182" s="37"/>
      <c r="L182" s="26"/>
      <c r="M182" s="26"/>
      <c r="N182" s="26"/>
      <c r="O182" s="96" t="str">
        <f t="shared" si="10"/>
        <v>-</v>
      </c>
      <c r="P182" s="98" t="str">
        <f t="shared" si="9"/>
        <v>-</v>
      </c>
    </row>
    <row r="183" spans="3:16" x14ac:dyDescent="0.25">
      <c r="C183" s="26"/>
      <c r="D183" s="116"/>
      <c r="E183" s="29"/>
      <c r="F183" s="93" t="str">
        <f t="shared" si="8"/>
        <v>-</v>
      </c>
      <c r="H183" s="120"/>
      <c r="I183" s="26"/>
      <c r="J183" s="102" t="str">
        <f>IFERROR(MIN('MP Calculations'!$E$29/I183,1),"-")</f>
        <v>-</v>
      </c>
      <c r="K183" s="37"/>
      <c r="L183" s="26"/>
      <c r="M183" s="26"/>
      <c r="N183" s="26"/>
      <c r="O183" s="96" t="str">
        <f t="shared" si="10"/>
        <v>-</v>
      </c>
      <c r="P183" s="98" t="str">
        <f t="shared" si="9"/>
        <v>-</v>
      </c>
    </row>
    <row r="184" spans="3:16" x14ac:dyDescent="0.25">
      <c r="C184" s="26"/>
      <c r="D184" s="116"/>
      <c r="E184" s="29"/>
      <c r="F184" s="93" t="str">
        <f t="shared" ref="F184:F217" si="11">IF(E184="","-",IF(OR(E184&lt;$E$15,E184&gt;$E$16),"ERROR - date outside of range","Date check - OK"))</f>
        <v>-</v>
      </c>
      <c r="H184" s="120"/>
      <c r="I184" s="26"/>
      <c r="J184" s="102" t="str">
        <f>IFERROR(MIN('MP Calculations'!$E$29/I184,1),"-")</f>
        <v>-</v>
      </c>
      <c r="K184" s="37"/>
      <c r="L184" s="26"/>
      <c r="M184" s="26"/>
      <c r="N184" s="26"/>
      <c r="O184" s="96" t="str">
        <f t="shared" si="10"/>
        <v>-</v>
      </c>
      <c r="P184" s="98" t="str">
        <f t="shared" ref="P184:P217" si="12">IF(O184="-","-",IF(OR(E184&lt;$E$15,E184&gt;$E$16),0,O184*J184))</f>
        <v>-</v>
      </c>
    </row>
    <row r="185" spans="3:16" x14ac:dyDescent="0.25">
      <c r="C185" s="26"/>
      <c r="D185" s="116"/>
      <c r="E185" s="29"/>
      <c r="F185" s="93" t="str">
        <f t="shared" si="11"/>
        <v>-</v>
      </c>
      <c r="H185" s="120"/>
      <c r="I185" s="26"/>
      <c r="J185" s="102" t="str">
        <f>IFERROR(MIN('MP Calculations'!$E$29/I185,1),"-")</f>
        <v>-</v>
      </c>
      <c r="K185" s="37"/>
      <c r="L185" s="26"/>
      <c r="M185" s="26"/>
      <c r="N185" s="26"/>
      <c r="O185" s="96" t="str">
        <f t="shared" si="10"/>
        <v>-</v>
      </c>
      <c r="P185" s="98" t="str">
        <f t="shared" si="12"/>
        <v>-</v>
      </c>
    </row>
    <row r="186" spans="3:16" x14ac:dyDescent="0.25">
      <c r="C186" s="26"/>
      <c r="D186" s="116"/>
      <c r="E186" s="29"/>
      <c r="F186" s="93" t="str">
        <f t="shared" si="11"/>
        <v>-</v>
      </c>
      <c r="H186" s="120"/>
      <c r="I186" s="26"/>
      <c r="J186" s="102" t="str">
        <f>IFERROR(MIN('MP Calculations'!$E$29/I186,1),"-")</f>
        <v>-</v>
      </c>
      <c r="K186" s="37"/>
      <c r="L186" s="26"/>
      <c r="M186" s="26"/>
      <c r="N186" s="26"/>
      <c r="O186" s="96" t="str">
        <f t="shared" si="10"/>
        <v>-</v>
      </c>
      <c r="P186" s="98" t="str">
        <f t="shared" si="12"/>
        <v>-</v>
      </c>
    </row>
    <row r="187" spans="3:16" x14ac:dyDescent="0.25">
      <c r="C187" s="26"/>
      <c r="D187" s="116"/>
      <c r="E187" s="29"/>
      <c r="F187" s="93" t="str">
        <f t="shared" si="11"/>
        <v>-</v>
      </c>
      <c r="H187" s="120"/>
      <c r="I187" s="26"/>
      <c r="J187" s="102" t="str">
        <f>IFERROR(MIN('MP Calculations'!$E$29/I187,1),"-")</f>
        <v>-</v>
      </c>
      <c r="K187" s="37"/>
      <c r="L187" s="26"/>
      <c r="M187" s="26"/>
      <c r="N187" s="26"/>
      <c r="O187" s="96" t="str">
        <f t="shared" si="10"/>
        <v>-</v>
      </c>
      <c r="P187" s="98" t="str">
        <f t="shared" si="12"/>
        <v>-</v>
      </c>
    </row>
    <row r="188" spans="3:16" x14ac:dyDescent="0.25">
      <c r="C188" s="26"/>
      <c r="D188" s="116"/>
      <c r="E188" s="29"/>
      <c r="F188" s="93" t="str">
        <f t="shared" si="11"/>
        <v>-</v>
      </c>
      <c r="H188" s="120"/>
      <c r="I188" s="26"/>
      <c r="J188" s="102" t="str">
        <f>IFERROR(MIN('MP Calculations'!$E$29/I188,1),"-")</f>
        <v>-</v>
      </c>
      <c r="K188" s="37"/>
      <c r="L188" s="26"/>
      <c r="M188" s="26"/>
      <c r="N188" s="26"/>
      <c r="O188" s="96" t="str">
        <f t="shared" si="10"/>
        <v>-</v>
      </c>
      <c r="P188" s="98" t="str">
        <f t="shared" si="12"/>
        <v>-</v>
      </c>
    </row>
    <row r="189" spans="3:16" x14ac:dyDescent="0.25">
      <c r="C189" s="26"/>
      <c r="D189" s="116"/>
      <c r="E189" s="29"/>
      <c r="F189" s="93" t="str">
        <f t="shared" si="11"/>
        <v>-</v>
      </c>
      <c r="H189" s="120"/>
      <c r="I189" s="26"/>
      <c r="J189" s="102" t="str">
        <f>IFERROR(MIN('MP Calculations'!$E$29/I189,1),"-")</f>
        <v>-</v>
      </c>
      <c r="K189" s="37"/>
      <c r="L189" s="26"/>
      <c r="M189" s="26"/>
      <c r="N189" s="26"/>
      <c r="O189" s="96" t="str">
        <f t="shared" si="10"/>
        <v>-</v>
      </c>
      <c r="P189" s="98" t="str">
        <f t="shared" si="12"/>
        <v>-</v>
      </c>
    </row>
    <row r="190" spans="3:16" x14ac:dyDescent="0.25">
      <c r="C190" s="26"/>
      <c r="D190" s="116"/>
      <c r="E190" s="29"/>
      <c r="F190" s="93" t="str">
        <f t="shared" si="11"/>
        <v>-</v>
      </c>
      <c r="H190" s="120"/>
      <c r="I190" s="26"/>
      <c r="J190" s="102" t="str">
        <f>IFERROR(MIN('MP Calculations'!$E$29/I190,1),"-")</f>
        <v>-</v>
      </c>
      <c r="K190" s="37"/>
      <c r="L190" s="26"/>
      <c r="M190" s="26"/>
      <c r="N190" s="26"/>
      <c r="O190" s="96" t="str">
        <f t="shared" si="10"/>
        <v>-</v>
      </c>
      <c r="P190" s="98" t="str">
        <f t="shared" si="12"/>
        <v>-</v>
      </c>
    </row>
    <row r="191" spans="3:16" x14ac:dyDescent="0.25">
      <c r="C191" s="26"/>
      <c r="D191" s="116"/>
      <c r="E191" s="29"/>
      <c r="F191" s="93" t="str">
        <f t="shared" si="11"/>
        <v>-</v>
      </c>
      <c r="H191" s="120"/>
      <c r="I191" s="26"/>
      <c r="J191" s="102" t="str">
        <f>IFERROR(MIN('MP Calculations'!$E$29/I191,1),"-")</f>
        <v>-</v>
      </c>
      <c r="K191" s="37"/>
      <c r="L191" s="26"/>
      <c r="M191" s="26"/>
      <c r="N191" s="26"/>
      <c r="O191" s="96" t="str">
        <f t="shared" si="10"/>
        <v>-</v>
      </c>
      <c r="P191" s="98" t="str">
        <f t="shared" si="12"/>
        <v>-</v>
      </c>
    </row>
    <row r="192" spans="3:16" x14ac:dyDescent="0.25">
      <c r="C192" s="26"/>
      <c r="D192" s="116"/>
      <c r="E192" s="29"/>
      <c r="F192" s="93" t="str">
        <f t="shared" si="11"/>
        <v>-</v>
      </c>
      <c r="H192" s="120"/>
      <c r="I192" s="26"/>
      <c r="J192" s="102" t="str">
        <f>IFERROR(MIN('MP Calculations'!$E$29/I192,1),"-")</f>
        <v>-</v>
      </c>
      <c r="K192" s="37"/>
      <c r="L192" s="26"/>
      <c r="M192" s="26"/>
      <c r="N192" s="26"/>
      <c r="O192" s="96" t="str">
        <f t="shared" si="10"/>
        <v>-</v>
      </c>
      <c r="P192" s="98" t="str">
        <f t="shared" si="12"/>
        <v>-</v>
      </c>
    </row>
    <row r="193" spans="3:16" x14ac:dyDescent="0.25">
      <c r="C193" s="26"/>
      <c r="D193" s="116"/>
      <c r="E193" s="29"/>
      <c r="F193" s="93" t="str">
        <f t="shared" si="11"/>
        <v>-</v>
      </c>
      <c r="H193" s="120"/>
      <c r="I193" s="26"/>
      <c r="J193" s="102" t="str">
        <f>IFERROR(MIN('MP Calculations'!$E$29/I193,1),"-")</f>
        <v>-</v>
      </c>
      <c r="K193" s="37"/>
      <c r="L193" s="26"/>
      <c r="M193" s="26"/>
      <c r="N193" s="26"/>
      <c r="O193" s="96" t="str">
        <f t="shared" si="10"/>
        <v>-</v>
      </c>
      <c r="P193" s="98" t="str">
        <f t="shared" si="12"/>
        <v>-</v>
      </c>
    </row>
    <row r="194" spans="3:16" x14ac:dyDescent="0.25">
      <c r="C194" s="26"/>
      <c r="D194" s="116"/>
      <c r="E194" s="29"/>
      <c r="F194" s="93" t="str">
        <f t="shared" si="11"/>
        <v>-</v>
      </c>
      <c r="H194" s="120"/>
      <c r="I194" s="26"/>
      <c r="J194" s="102" t="str">
        <f>IFERROR(MIN('MP Calculations'!$E$29/I194,1),"-")</f>
        <v>-</v>
      </c>
      <c r="K194" s="37"/>
      <c r="L194" s="26"/>
      <c r="M194" s="26"/>
      <c r="N194" s="26"/>
      <c r="O194" s="96" t="str">
        <f t="shared" si="10"/>
        <v>-</v>
      </c>
      <c r="P194" s="98" t="str">
        <f t="shared" si="12"/>
        <v>-</v>
      </c>
    </row>
    <row r="195" spans="3:16" x14ac:dyDescent="0.25">
      <c r="C195" s="26"/>
      <c r="D195" s="116"/>
      <c r="E195" s="29"/>
      <c r="F195" s="93" t="str">
        <f t="shared" si="11"/>
        <v>-</v>
      </c>
      <c r="H195" s="120"/>
      <c r="I195" s="26"/>
      <c r="J195" s="102" t="str">
        <f>IFERROR(MIN('MP Calculations'!$E$29/I195,1),"-")</f>
        <v>-</v>
      </c>
      <c r="K195" s="37"/>
      <c r="L195" s="26"/>
      <c r="M195" s="26"/>
      <c r="N195" s="26"/>
      <c r="O195" s="96" t="str">
        <f t="shared" si="10"/>
        <v>-</v>
      </c>
      <c r="P195" s="98" t="str">
        <f t="shared" si="12"/>
        <v>-</v>
      </c>
    </row>
    <row r="196" spans="3:16" x14ac:dyDescent="0.25">
      <c r="C196" s="26"/>
      <c r="D196" s="116"/>
      <c r="E196" s="29"/>
      <c r="F196" s="93" t="str">
        <f t="shared" si="11"/>
        <v>-</v>
      </c>
      <c r="H196" s="120"/>
      <c r="I196" s="26"/>
      <c r="J196" s="102" t="str">
        <f>IFERROR(MIN('MP Calculations'!$E$29/I196,1),"-")</f>
        <v>-</v>
      </c>
      <c r="K196" s="37"/>
      <c r="L196" s="26"/>
      <c r="M196" s="26"/>
      <c r="N196" s="26"/>
      <c r="O196" s="96" t="str">
        <f t="shared" si="10"/>
        <v>-</v>
      </c>
      <c r="P196" s="98" t="str">
        <f t="shared" si="12"/>
        <v>-</v>
      </c>
    </row>
    <row r="197" spans="3:16" x14ac:dyDescent="0.25">
      <c r="C197" s="26"/>
      <c r="D197" s="116"/>
      <c r="E197" s="29"/>
      <c r="F197" s="93" t="str">
        <f t="shared" si="11"/>
        <v>-</v>
      </c>
      <c r="H197" s="120"/>
      <c r="I197" s="26"/>
      <c r="J197" s="102" t="str">
        <f>IFERROR(MIN('MP Calculations'!$E$29/I197,1),"-")</f>
        <v>-</v>
      </c>
      <c r="K197" s="37"/>
      <c r="L197" s="26"/>
      <c r="M197" s="26"/>
      <c r="N197" s="26"/>
      <c r="O197" s="96" t="str">
        <f t="shared" si="10"/>
        <v>-</v>
      </c>
      <c r="P197" s="98" t="str">
        <f t="shared" si="12"/>
        <v>-</v>
      </c>
    </row>
    <row r="198" spans="3:16" x14ac:dyDescent="0.25">
      <c r="C198" s="26"/>
      <c r="D198" s="116"/>
      <c r="E198" s="29"/>
      <c r="F198" s="93" t="str">
        <f t="shared" si="11"/>
        <v>-</v>
      </c>
      <c r="H198" s="120"/>
      <c r="I198" s="26"/>
      <c r="J198" s="102" t="str">
        <f>IFERROR(MIN('MP Calculations'!$E$29/I198,1),"-")</f>
        <v>-</v>
      </c>
      <c r="K198" s="37"/>
      <c r="L198" s="26"/>
      <c r="M198" s="26"/>
      <c r="N198" s="26"/>
      <c r="O198" s="96" t="str">
        <f t="shared" si="10"/>
        <v>-</v>
      </c>
      <c r="P198" s="98" t="str">
        <f t="shared" si="12"/>
        <v>-</v>
      </c>
    </row>
    <row r="199" spans="3:16" x14ac:dyDescent="0.25">
      <c r="C199" s="26"/>
      <c r="D199" s="116"/>
      <c r="E199" s="29"/>
      <c r="F199" s="93" t="str">
        <f t="shared" si="11"/>
        <v>-</v>
      </c>
      <c r="H199" s="120"/>
      <c r="I199" s="26"/>
      <c r="J199" s="102" t="str">
        <f>IFERROR(MIN('MP Calculations'!$E$29/I199,1),"-")</f>
        <v>-</v>
      </c>
      <c r="K199" s="37"/>
      <c r="L199" s="26"/>
      <c r="M199" s="26"/>
      <c r="N199" s="26"/>
      <c r="O199" s="96" t="str">
        <f t="shared" si="10"/>
        <v>-</v>
      </c>
      <c r="P199" s="98" t="str">
        <f t="shared" si="12"/>
        <v>-</v>
      </c>
    </row>
    <row r="200" spans="3:16" x14ac:dyDescent="0.25">
      <c r="C200" s="26"/>
      <c r="D200" s="116"/>
      <c r="E200" s="29"/>
      <c r="F200" s="93" t="str">
        <f t="shared" si="11"/>
        <v>-</v>
      </c>
      <c r="H200" s="120"/>
      <c r="I200" s="26"/>
      <c r="J200" s="102" t="str">
        <f>IFERROR(MIN('MP Calculations'!$E$29/I200,1),"-")</f>
        <v>-</v>
      </c>
      <c r="K200" s="37"/>
      <c r="L200" s="26"/>
      <c r="M200" s="26"/>
      <c r="N200" s="26"/>
      <c r="O200" s="96" t="str">
        <f t="shared" si="10"/>
        <v>-</v>
      </c>
      <c r="P200" s="98" t="str">
        <f t="shared" si="12"/>
        <v>-</v>
      </c>
    </row>
    <row r="201" spans="3:16" x14ac:dyDescent="0.25">
      <c r="C201" s="26"/>
      <c r="D201" s="116"/>
      <c r="E201" s="29"/>
      <c r="F201" s="93" t="str">
        <f t="shared" si="11"/>
        <v>-</v>
      </c>
      <c r="H201" s="120"/>
      <c r="I201" s="26"/>
      <c r="J201" s="102" t="str">
        <f>IFERROR(MIN('MP Calculations'!$E$29/I201,1),"-")</f>
        <v>-</v>
      </c>
      <c r="K201" s="37"/>
      <c r="L201" s="26"/>
      <c r="M201" s="26"/>
      <c r="N201" s="26"/>
      <c r="O201" s="96" t="str">
        <f t="shared" si="10"/>
        <v>-</v>
      </c>
      <c r="P201" s="98" t="str">
        <f t="shared" si="12"/>
        <v>-</v>
      </c>
    </row>
    <row r="202" spans="3:16" x14ac:dyDescent="0.25">
      <c r="C202" s="26"/>
      <c r="D202" s="116"/>
      <c r="E202" s="29"/>
      <c r="F202" s="93" t="str">
        <f t="shared" si="11"/>
        <v>-</v>
      </c>
      <c r="H202" s="120"/>
      <c r="I202" s="26"/>
      <c r="J202" s="102" t="str">
        <f>IFERROR(MIN('MP Calculations'!$E$29/I202,1),"-")</f>
        <v>-</v>
      </c>
      <c r="K202" s="37"/>
      <c r="L202" s="26"/>
      <c r="M202" s="26"/>
      <c r="N202" s="26"/>
      <c r="O202" s="96" t="str">
        <f t="shared" si="10"/>
        <v>-</v>
      </c>
      <c r="P202" s="98" t="str">
        <f t="shared" si="12"/>
        <v>-</v>
      </c>
    </row>
    <row r="203" spans="3:16" x14ac:dyDescent="0.25">
      <c r="C203" s="26"/>
      <c r="D203" s="116"/>
      <c r="E203" s="29"/>
      <c r="F203" s="93" t="str">
        <f t="shared" si="11"/>
        <v>-</v>
      </c>
      <c r="H203" s="120"/>
      <c r="I203" s="26"/>
      <c r="J203" s="102" t="str">
        <f>IFERROR(MIN('MP Calculations'!$E$29/I203,1),"-")</f>
        <v>-</v>
      </c>
      <c r="K203" s="37"/>
      <c r="L203" s="26"/>
      <c r="M203" s="26"/>
      <c r="N203" s="26"/>
      <c r="O203" s="96" t="str">
        <f t="shared" si="10"/>
        <v>-</v>
      </c>
      <c r="P203" s="98" t="str">
        <f t="shared" si="12"/>
        <v>-</v>
      </c>
    </row>
    <row r="204" spans="3:16" x14ac:dyDescent="0.25">
      <c r="C204" s="26"/>
      <c r="D204" s="116"/>
      <c r="E204" s="29"/>
      <c r="F204" s="93" t="str">
        <f t="shared" si="11"/>
        <v>-</v>
      </c>
      <c r="H204" s="120"/>
      <c r="I204" s="26"/>
      <c r="J204" s="102" t="str">
        <f>IFERROR(MIN('MP Calculations'!$E$29/I204,1),"-")</f>
        <v>-</v>
      </c>
      <c r="K204" s="37"/>
      <c r="L204" s="26"/>
      <c r="M204" s="26"/>
      <c r="N204" s="26"/>
      <c r="O204" s="96" t="str">
        <f t="shared" si="10"/>
        <v>-</v>
      </c>
      <c r="P204" s="98" t="str">
        <f t="shared" si="12"/>
        <v>-</v>
      </c>
    </row>
    <row r="205" spans="3:16" x14ac:dyDescent="0.25">
      <c r="C205" s="26"/>
      <c r="D205" s="116"/>
      <c r="E205" s="29"/>
      <c r="F205" s="93" t="str">
        <f t="shared" si="11"/>
        <v>-</v>
      </c>
      <c r="H205" s="120"/>
      <c r="I205" s="26"/>
      <c r="J205" s="102" t="str">
        <f>IFERROR(MIN('MP Calculations'!$E$29/I205,1),"-")</f>
        <v>-</v>
      </c>
      <c r="K205" s="37"/>
      <c r="L205" s="26"/>
      <c r="M205" s="26"/>
      <c r="N205" s="26"/>
      <c r="O205" s="96" t="str">
        <f t="shared" si="10"/>
        <v>-</v>
      </c>
      <c r="P205" s="98" t="str">
        <f t="shared" si="12"/>
        <v>-</v>
      </c>
    </row>
    <row r="206" spans="3:16" x14ac:dyDescent="0.25">
      <c r="C206" s="26"/>
      <c r="D206" s="116"/>
      <c r="E206" s="29"/>
      <c r="F206" s="93" t="str">
        <f t="shared" si="11"/>
        <v>-</v>
      </c>
      <c r="H206" s="120"/>
      <c r="I206" s="26"/>
      <c r="J206" s="102" t="str">
        <f>IFERROR(MIN('MP Calculations'!$E$29/I206,1),"-")</f>
        <v>-</v>
      </c>
      <c r="K206" s="37"/>
      <c r="L206" s="26"/>
      <c r="M206" s="26"/>
      <c r="N206" s="26"/>
      <c r="O206" s="96" t="str">
        <f t="shared" si="10"/>
        <v>-</v>
      </c>
      <c r="P206" s="98" t="str">
        <f t="shared" si="12"/>
        <v>-</v>
      </c>
    </row>
    <row r="207" spans="3:16" x14ac:dyDescent="0.25">
      <c r="C207" s="26"/>
      <c r="D207" s="116"/>
      <c r="E207" s="29"/>
      <c r="F207" s="93" t="str">
        <f t="shared" si="11"/>
        <v>-</v>
      </c>
      <c r="H207" s="120"/>
      <c r="I207" s="26"/>
      <c r="J207" s="102" t="str">
        <f>IFERROR(MIN('MP Calculations'!$E$29/I207,1),"-")</f>
        <v>-</v>
      </c>
      <c r="K207" s="37"/>
      <c r="L207" s="26"/>
      <c r="M207" s="26"/>
      <c r="N207" s="26"/>
      <c r="O207" s="96" t="str">
        <f t="shared" si="10"/>
        <v>-</v>
      </c>
      <c r="P207" s="98" t="str">
        <f t="shared" si="12"/>
        <v>-</v>
      </c>
    </row>
    <row r="208" spans="3:16" x14ac:dyDescent="0.25">
      <c r="C208" s="26"/>
      <c r="D208" s="116"/>
      <c r="E208" s="29"/>
      <c r="F208" s="93" t="str">
        <f t="shared" si="11"/>
        <v>-</v>
      </c>
      <c r="H208" s="120"/>
      <c r="I208" s="26"/>
      <c r="J208" s="102" t="str">
        <f>IFERROR(MIN('MP Calculations'!$E$29/I208,1),"-")</f>
        <v>-</v>
      </c>
      <c r="K208" s="37"/>
      <c r="L208" s="26"/>
      <c r="M208" s="26"/>
      <c r="N208" s="26"/>
      <c r="O208" s="96" t="str">
        <f t="shared" si="10"/>
        <v>-</v>
      </c>
      <c r="P208" s="98" t="str">
        <f t="shared" si="12"/>
        <v>-</v>
      </c>
    </row>
    <row r="209" spans="3:16" x14ac:dyDescent="0.25">
      <c r="C209" s="26"/>
      <c r="D209" s="116"/>
      <c r="E209" s="29"/>
      <c r="F209" s="93" t="str">
        <f t="shared" si="11"/>
        <v>-</v>
      </c>
      <c r="H209" s="120"/>
      <c r="I209" s="26"/>
      <c r="J209" s="102" t="str">
        <f>IFERROR(MIN('MP Calculations'!$E$29/I209,1),"-")</f>
        <v>-</v>
      </c>
      <c r="K209" s="37"/>
      <c r="L209" s="26"/>
      <c r="M209" s="26"/>
      <c r="N209" s="26"/>
      <c r="O209" s="96" t="str">
        <f t="shared" si="10"/>
        <v>-</v>
      </c>
      <c r="P209" s="98" t="str">
        <f t="shared" si="12"/>
        <v>-</v>
      </c>
    </row>
    <row r="210" spans="3:16" x14ac:dyDescent="0.25">
      <c r="C210" s="26"/>
      <c r="D210" s="116"/>
      <c r="E210" s="29"/>
      <c r="F210" s="93" t="str">
        <f t="shared" si="11"/>
        <v>-</v>
      </c>
      <c r="H210" s="120"/>
      <c r="I210" s="26"/>
      <c r="J210" s="102" t="str">
        <f>IFERROR(MIN('MP Calculations'!$E$29/I210,1),"-")</f>
        <v>-</v>
      </c>
      <c r="K210" s="37"/>
      <c r="L210" s="26"/>
      <c r="M210" s="26"/>
      <c r="N210" s="26"/>
      <c r="O210" s="96" t="str">
        <f t="shared" si="10"/>
        <v>-</v>
      </c>
      <c r="P210" s="98" t="str">
        <f t="shared" si="12"/>
        <v>-</v>
      </c>
    </row>
    <row r="211" spans="3:16" x14ac:dyDescent="0.25">
      <c r="C211" s="26"/>
      <c r="D211" s="116"/>
      <c r="E211" s="29"/>
      <c r="F211" s="93" t="str">
        <f t="shared" si="11"/>
        <v>-</v>
      </c>
      <c r="H211" s="120"/>
      <c r="I211" s="26"/>
      <c r="J211" s="102" t="str">
        <f>IFERROR(MIN('MP Calculations'!$E$29/I211,1),"-")</f>
        <v>-</v>
      </c>
      <c r="K211" s="37"/>
      <c r="L211" s="26"/>
      <c r="M211" s="26"/>
      <c r="N211" s="26"/>
      <c r="O211" s="96" t="str">
        <f t="shared" si="10"/>
        <v>-</v>
      </c>
      <c r="P211" s="98" t="str">
        <f t="shared" si="12"/>
        <v>-</v>
      </c>
    </row>
    <row r="212" spans="3:16" x14ac:dyDescent="0.25">
      <c r="C212" s="26"/>
      <c r="D212" s="116"/>
      <c r="E212" s="29"/>
      <c r="F212" s="93" t="str">
        <f t="shared" si="11"/>
        <v>-</v>
      </c>
      <c r="H212" s="120"/>
      <c r="I212" s="26"/>
      <c r="J212" s="102" t="str">
        <f>IFERROR(MIN('MP Calculations'!$E$29/I212,1),"-")</f>
        <v>-</v>
      </c>
      <c r="K212" s="37"/>
      <c r="L212" s="26"/>
      <c r="M212" s="26"/>
      <c r="N212" s="26"/>
      <c r="O212" s="96" t="str">
        <f t="shared" si="10"/>
        <v>-</v>
      </c>
      <c r="P212" s="98" t="str">
        <f t="shared" si="12"/>
        <v>-</v>
      </c>
    </row>
    <row r="213" spans="3:16" x14ac:dyDescent="0.25">
      <c r="C213" s="26"/>
      <c r="D213" s="116"/>
      <c r="E213" s="29"/>
      <c r="F213" s="93" t="str">
        <f t="shared" si="11"/>
        <v>-</v>
      </c>
      <c r="H213" s="120"/>
      <c r="I213" s="26"/>
      <c r="J213" s="102" t="str">
        <f>IFERROR(MIN('MP Calculations'!$E$29/I213,1),"-")</f>
        <v>-</v>
      </c>
      <c r="K213" s="37"/>
      <c r="L213" s="26"/>
      <c r="M213" s="26"/>
      <c r="N213" s="26"/>
      <c r="O213" s="96" t="str">
        <f t="shared" si="10"/>
        <v>-</v>
      </c>
      <c r="P213" s="98" t="str">
        <f t="shared" si="12"/>
        <v>-</v>
      </c>
    </row>
    <row r="214" spans="3:16" x14ac:dyDescent="0.25">
      <c r="C214" s="26"/>
      <c r="D214" s="116"/>
      <c r="E214" s="29"/>
      <c r="F214" s="93" t="str">
        <f t="shared" si="11"/>
        <v>-</v>
      </c>
      <c r="H214" s="120"/>
      <c r="I214" s="26"/>
      <c r="J214" s="102" t="str">
        <f>IFERROR(MIN('MP Calculations'!$E$29/I214,1),"-")</f>
        <v>-</v>
      </c>
      <c r="K214" s="37"/>
      <c r="L214" s="26"/>
      <c r="M214" s="26"/>
      <c r="N214" s="26"/>
      <c r="O214" s="96" t="str">
        <f t="shared" si="10"/>
        <v>-</v>
      </c>
      <c r="P214" s="98" t="str">
        <f t="shared" si="12"/>
        <v>-</v>
      </c>
    </row>
    <row r="215" spans="3:16" x14ac:dyDescent="0.25">
      <c r="C215" s="26"/>
      <c r="D215" s="116"/>
      <c r="E215" s="29"/>
      <c r="F215" s="93" t="str">
        <f t="shared" si="11"/>
        <v>-</v>
      </c>
      <c r="H215" s="120"/>
      <c r="I215" s="26"/>
      <c r="J215" s="102" t="str">
        <f>IFERROR(MIN('MP Calculations'!$E$29/I215,1),"-")</f>
        <v>-</v>
      </c>
      <c r="K215" s="37"/>
      <c r="L215" s="26"/>
      <c r="M215" s="26"/>
      <c r="N215" s="26"/>
      <c r="O215" s="96" t="str">
        <f t="shared" ref="O215:O218" si="13">IF(N215="","-",L215*N215)</f>
        <v>-</v>
      </c>
      <c r="P215" s="98" t="str">
        <f t="shared" si="12"/>
        <v>-</v>
      </c>
    </row>
    <row r="216" spans="3:16" x14ac:dyDescent="0.25">
      <c r="C216" s="26"/>
      <c r="D216" s="116"/>
      <c r="E216" s="29"/>
      <c r="F216" s="93" t="str">
        <f t="shared" si="11"/>
        <v>-</v>
      </c>
      <c r="H216" s="120"/>
      <c r="I216" s="26"/>
      <c r="J216" s="102" t="str">
        <f>IFERROR(MIN('MP Calculations'!$E$29/I216,1),"-")</f>
        <v>-</v>
      </c>
      <c r="K216" s="37"/>
      <c r="L216" s="26"/>
      <c r="M216" s="26"/>
      <c r="N216" s="26"/>
      <c r="O216" s="96" t="str">
        <f t="shared" si="13"/>
        <v>-</v>
      </c>
      <c r="P216" s="98" t="str">
        <f t="shared" si="12"/>
        <v>-</v>
      </c>
    </row>
    <row r="217" spans="3:16" x14ac:dyDescent="0.25">
      <c r="C217" s="26"/>
      <c r="D217" s="116"/>
      <c r="E217" s="29"/>
      <c r="F217" s="93" t="str">
        <f t="shared" si="11"/>
        <v>-</v>
      </c>
      <c r="H217" s="120"/>
      <c r="I217" s="26"/>
      <c r="J217" s="102" t="str">
        <f>IFERROR(MIN('MP Calculations'!$E$29/I217,1),"-")</f>
        <v>-</v>
      </c>
      <c r="K217" s="37"/>
      <c r="L217" s="26"/>
      <c r="M217" s="26"/>
      <c r="N217" s="26"/>
      <c r="O217" s="96" t="str">
        <f t="shared" si="13"/>
        <v>-</v>
      </c>
      <c r="P217" s="98" t="str">
        <f t="shared" si="12"/>
        <v>-</v>
      </c>
    </row>
    <row r="218" spans="3:16" ht="57.5" x14ac:dyDescent="0.25">
      <c r="C218" s="30"/>
      <c r="D218" s="134"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135"/>
      <c r="F218" s="94" t="str">
        <f t="shared" si="5"/>
        <v>-</v>
      </c>
      <c r="H218" s="118"/>
      <c r="I218" s="40"/>
      <c r="J218" s="122" t="str">
        <f>IFERROR(MIN('MP Calculations'!$E$29/I218,1),"-")</f>
        <v>-</v>
      </c>
      <c r="L218" s="31"/>
      <c r="M218" s="31"/>
      <c r="N218" s="31"/>
      <c r="O218" s="123" t="str">
        <f t="shared" si="13"/>
        <v>-</v>
      </c>
      <c r="P218" s="99" t="str">
        <f t="shared" si="7"/>
        <v>-</v>
      </c>
    </row>
    <row r="219" spans="3:16" x14ac:dyDescent="0.25">
      <c r="O219" s="6" t="s">
        <v>250</v>
      </c>
      <c r="P219" s="146">
        <f>SUM(P22:P218)</f>
        <v>78456438.743314505</v>
      </c>
    </row>
  </sheetData>
  <conditionalFormatting sqref="F22:F218">
    <cfRule type="containsText" dxfId="7" priority="4" operator="containsText" text="ERROR">
      <formula>NOT(ISERROR(SEARCH("ERROR",F22)))</formula>
    </cfRule>
  </conditionalFormatting>
  <conditionalFormatting sqref="J22:J218">
    <cfRule type="cellIs" dxfId="6"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C1:R223"/>
  <sheetViews>
    <sheetView showGridLines="0" topLeftCell="A55" zoomScaleNormal="100" workbookViewId="0">
      <selection activeCell="N91" sqref="N91:N94"/>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5" hidden="1" x14ac:dyDescent="0.25">
      <c r="E1" s="32"/>
    </row>
    <row r="2" spans="3:5" hidden="1" x14ac:dyDescent="0.25">
      <c r="E2" s="32"/>
    </row>
    <row r="3" spans="3:5" ht="20" hidden="1" x14ac:dyDescent="0.4">
      <c r="C3" s="59" t="s">
        <v>251</v>
      </c>
    </row>
    <row r="4" spans="3:5" hidden="1" x14ac:dyDescent="0.25"/>
    <row r="5" spans="3:5" hidden="1" x14ac:dyDescent="0.25">
      <c r="D5" s="32"/>
    </row>
    <row r="6" spans="3:5" ht="12" hidden="1" customHeight="1" x14ac:dyDescent="0.25">
      <c r="C6" s="110"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5" hidden="1" x14ac:dyDescent="0.25">
      <c r="C7" s="133" t="str">
        <f ca="1">"Hyperlink to the '"&amp;MID(CELL("filename",'Asset exclusions'!A1),FIND("]",CELL("filename",'Asset exclusions'!A1))+1,255)&amp;"' worksheet:"</f>
        <v>Hyperlink to the 'Asset exclusions' worksheet:</v>
      </c>
      <c r="E7" s="168" t="s">
        <v>170</v>
      </c>
    </row>
    <row r="8" spans="3:5" hidden="1" x14ac:dyDescent="0.25">
      <c r="C8" s="133"/>
      <c r="E8" s="168"/>
    </row>
    <row r="9" spans="3:5" hidden="1" x14ac:dyDescent="0.25">
      <c r="C9" s="133" t="s">
        <v>171</v>
      </c>
      <c r="E9" s="168"/>
    </row>
    <row r="10" spans="3:5" hidden="1" x14ac:dyDescent="0.25">
      <c r="C10" s="133" t="s">
        <v>172</v>
      </c>
      <c r="E10" s="168"/>
    </row>
    <row r="11" spans="3:5" hidden="1" x14ac:dyDescent="0.25">
      <c r="C11" s="133" t="s">
        <v>173</v>
      </c>
      <c r="E11" s="168"/>
    </row>
    <row r="12" spans="3:5" hidden="1" x14ac:dyDescent="0.25">
      <c r="C12" s="133" t="s">
        <v>174</v>
      </c>
      <c r="E12" s="168"/>
    </row>
    <row r="13" spans="3:5" hidden="1" x14ac:dyDescent="0.25"/>
    <row r="14" spans="3:5" hidden="1" x14ac:dyDescent="0.25">
      <c r="C14" s="6" t="s">
        <v>175</v>
      </c>
    </row>
    <row r="15" spans="3:5" hidden="1" x14ac:dyDescent="0.25">
      <c r="C15" s="66" t="s">
        <v>176</v>
      </c>
      <c r="E15" s="90">
        <f>'General inputs'!$H$24+1</f>
        <v>35065</v>
      </c>
    </row>
    <row r="16" spans="3:5" hidden="1" x14ac:dyDescent="0.25">
      <c r="C16" s="66" t="s">
        <v>177</v>
      </c>
      <c r="E16" s="91">
        <f>'General inputs'!$H$18</f>
        <v>45473</v>
      </c>
    </row>
    <row r="17" spans="3:18" hidden="1" x14ac:dyDescent="0.25"/>
    <row r="18" spans="3:18" ht="15.5" hidden="1" x14ac:dyDescent="0.35">
      <c r="C18" s="2" t="s">
        <v>252</v>
      </c>
    </row>
    <row r="19" spans="3:18" hidden="1" x14ac:dyDescent="0.25"/>
    <row r="20" spans="3:18" hidden="1" x14ac:dyDescent="0.25">
      <c r="C20" s="6" t="s">
        <v>179</v>
      </c>
      <c r="H20" s="6" t="s">
        <v>180</v>
      </c>
      <c r="L20" s="6" t="s">
        <v>181</v>
      </c>
      <c r="M20" s="6"/>
    </row>
    <row r="21" spans="3:18" ht="46" x14ac:dyDescent="0.25">
      <c r="C21" s="24" t="s">
        <v>182</v>
      </c>
      <c r="D21" s="24" t="s">
        <v>183</v>
      </c>
      <c r="E21" s="24" t="s">
        <v>184</v>
      </c>
      <c r="F21" s="24" t="s">
        <v>253</v>
      </c>
      <c r="H21" s="24" t="s">
        <v>186</v>
      </c>
      <c r="I21" s="24" t="s">
        <v>187</v>
      </c>
      <c r="J21" s="24" t="s">
        <v>188</v>
      </c>
      <c r="L21" s="24" t="s">
        <v>189</v>
      </c>
      <c r="M21" s="24" t="s">
        <v>190</v>
      </c>
      <c r="N21" s="24" t="str">
        <f>"MEERA value per unit/measure of length (B) 
("&amp;'General inputs'!$H$42&amp;" as at 1 July "&amp;LEFT('General inputs'!$I$40,4)&amp;")"</f>
        <v>MEERA value per unit/measure of length (B) 
($ as at 1 July 2024)</v>
      </c>
      <c r="O21" s="24" t="str">
        <f>"Total MEERA value (A x B)
("&amp;'General inputs'!$H$42&amp;", $"&amp;'General inputs'!$I$40&amp;")"</f>
        <v>Total MEERA value (A x B)
($, $2024-25)</v>
      </c>
      <c r="P21" s="24" t="str">
        <f>"MEERA value to be recovered via DSP ("&amp;'General inputs'!$H$42&amp;", $"&amp;'General inputs'!$I$40&amp;")"</f>
        <v>MEERA value to be recovered via DSP ($, $2024-25)</v>
      </c>
    </row>
    <row r="22" spans="3:18" ht="12" customHeight="1" x14ac:dyDescent="0.25">
      <c r="C22" s="25"/>
      <c r="D22" s="195" t="s">
        <v>191</v>
      </c>
      <c r="E22" s="33"/>
      <c r="F22" s="100" t="str">
        <f>IF(E22="","-",IF(OR(E22&lt;$E$15,E22&gt;$E$16),"ERROR - date outside of range",IF(MONTH(E22)&gt;=7,YEAR(E22)&amp;"-"&amp;IF(YEAR(E22)=1999,"00",IF(AND(YEAR(E22)&gt;=2000,YEAR(E22)&lt;2009),"0","")&amp;RIGHT(YEAR(E22),2)+1),RIGHT(YEAR(E22),4)-1&amp;"-"&amp;RIGHT(YEAR(E22),2))))</f>
        <v>-</v>
      </c>
      <c r="H22" s="119"/>
      <c r="I22" s="25"/>
      <c r="J22" s="101" t="str">
        <f>IFERROR(MIN('MP Calculations'!$E$29/I22,1),"-")</f>
        <v>-</v>
      </c>
      <c r="K22" s="37"/>
      <c r="L22" s="25"/>
      <c r="M22" s="25"/>
      <c r="N22" s="25"/>
      <c r="O22" s="95" t="str">
        <f>IF(N22="","-",L22*N22)</f>
        <v>-</v>
      </c>
      <c r="P22" s="97" t="str">
        <f>IF(O22="-","-",IF(OR(E22&lt;$E$15,E22&gt;$E$16),0,O22*J22))</f>
        <v>-</v>
      </c>
    </row>
    <row r="23" spans="3:18" x14ac:dyDescent="0.25">
      <c r="C23" s="26"/>
      <c r="D23" s="116" t="s">
        <v>254</v>
      </c>
      <c r="E23" s="34">
        <v>39995</v>
      </c>
      <c r="F23" s="109" t="str">
        <f t="shared" ref="F23:F90" si="0">IF(E23="","-",IF(OR(E23&lt;$E$15,E23&gt;$E$16),"ERROR - date outside of range",IF(MONTH(E23)&gt;=7,YEAR(E23)&amp;"-"&amp;IF(YEAR(E23)=1999,"00",IF(AND(YEAR(E23)&gt;=2000,YEAR(E23)&lt;2009),"0","")&amp;RIGHT(YEAR(E23),2)+1),RIGHT(YEAR(E23),4)-1&amp;"-"&amp;RIGHT(YEAR(E23),2))))</f>
        <v>2009-10</v>
      </c>
      <c r="H23" s="120" t="s">
        <v>255</v>
      </c>
      <c r="I23" s="26">
        <v>160175</v>
      </c>
      <c r="J23" s="102">
        <f>IFERROR(MIN('MP Calculations'!$E$29/I23,1),"-")</f>
        <v>0.50792864054939912</v>
      </c>
      <c r="K23" s="37"/>
      <c r="L23" s="143">
        <v>1</v>
      </c>
      <c r="M23" s="26"/>
      <c r="N23" s="26">
        <v>212998.38209</v>
      </c>
      <c r="O23" s="96">
        <f t="shared" ref="O23:O90" si="1">IF(N23="","-",L23*N23)</f>
        <v>212998.38209</v>
      </c>
      <c r="P23" s="98">
        <f t="shared" ref="P23:P90" si="2">IF(O23="-","-",IF(OR(E23&lt;$E$15,E23&gt;$E$16),0,O23*J23))</f>
        <v>108187.97865419518</v>
      </c>
      <c r="R23" s="103"/>
    </row>
    <row r="24" spans="3:18" x14ac:dyDescent="0.25">
      <c r="C24" s="26"/>
      <c r="D24" s="116" t="s">
        <v>256</v>
      </c>
      <c r="E24" s="34">
        <v>41091</v>
      </c>
      <c r="F24" s="109" t="str">
        <f t="shared" si="0"/>
        <v>2012-13</v>
      </c>
      <c r="H24" s="120" t="s">
        <v>255</v>
      </c>
      <c r="I24" s="26">
        <v>160175</v>
      </c>
      <c r="J24" s="102">
        <f>IFERROR(MIN('MP Calculations'!$E$29/I24,1),"-")</f>
        <v>0.50792864054939912</v>
      </c>
      <c r="K24" s="37"/>
      <c r="L24" s="26">
        <v>1</v>
      </c>
      <c r="M24" s="26"/>
      <c r="N24" s="26">
        <v>313990.38043000002</v>
      </c>
      <c r="O24" s="96">
        <f t="shared" si="1"/>
        <v>313990.38043000002</v>
      </c>
      <c r="P24" s="98">
        <f t="shared" si="2"/>
        <v>159484.70707739858</v>
      </c>
    </row>
    <row r="25" spans="3:18" x14ac:dyDescent="0.25">
      <c r="C25" s="26"/>
      <c r="D25" s="116"/>
      <c r="E25" s="34"/>
      <c r="F25" s="109" t="str">
        <f t="shared" si="0"/>
        <v>-</v>
      </c>
      <c r="H25" s="120"/>
      <c r="I25" s="26"/>
      <c r="J25" s="102" t="str">
        <f>IFERROR(MIN('MP Calculations'!$E$29/I25,1),"-")</f>
        <v>-</v>
      </c>
      <c r="K25" s="37"/>
      <c r="L25" s="26"/>
      <c r="M25" s="26"/>
      <c r="N25" s="26"/>
      <c r="O25" s="96" t="str">
        <f t="shared" si="1"/>
        <v>-</v>
      </c>
      <c r="P25" s="98" t="str">
        <f t="shared" si="2"/>
        <v>-</v>
      </c>
    </row>
    <row r="26" spans="3:18" x14ac:dyDescent="0.25">
      <c r="C26" s="26"/>
      <c r="D26" s="196" t="s">
        <v>201</v>
      </c>
      <c r="E26" s="34"/>
      <c r="F26" s="109" t="str">
        <f t="shared" si="0"/>
        <v>-</v>
      </c>
      <c r="H26" s="120"/>
      <c r="I26" s="26"/>
      <c r="J26" s="102" t="str">
        <f>IFERROR(MIN('MP Calculations'!$E$29/I26,1),"-")</f>
        <v>-</v>
      </c>
      <c r="K26" s="37"/>
      <c r="L26" s="26"/>
      <c r="M26" s="26"/>
      <c r="N26" s="26"/>
      <c r="O26" s="96" t="str">
        <f t="shared" si="1"/>
        <v>-</v>
      </c>
      <c r="P26" s="98" t="str">
        <f t="shared" si="2"/>
        <v>-</v>
      </c>
    </row>
    <row r="27" spans="3:18" x14ac:dyDescent="0.25">
      <c r="C27" s="26"/>
      <c r="D27" s="197">
        <v>1996</v>
      </c>
      <c r="E27" s="34">
        <v>35065</v>
      </c>
      <c r="F27" s="109" t="str">
        <f t="shared" si="0"/>
        <v>1995-96</v>
      </c>
      <c r="H27" s="120" t="s">
        <v>255</v>
      </c>
      <c r="I27" s="26">
        <v>160175</v>
      </c>
      <c r="J27" s="102">
        <f>IFERROR(MIN('MP Calculations'!$E$29/I27,1),"-")</f>
        <v>0.50792864054939912</v>
      </c>
      <c r="K27" s="37"/>
      <c r="L27" s="26">
        <v>1</v>
      </c>
      <c r="M27" s="26"/>
      <c r="N27" s="26">
        <v>866327.21349999995</v>
      </c>
      <c r="O27" s="96">
        <f t="shared" si="1"/>
        <v>866327.21349999995</v>
      </c>
      <c r="P27" s="98">
        <f t="shared" si="2"/>
        <v>440032.40382400405</v>
      </c>
    </row>
    <row r="28" spans="3:18" x14ac:dyDescent="0.25">
      <c r="C28" s="26"/>
      <c r="D28" s="197">
        <v>1997</v>
      </c>
      <c r="E28" s="34">
        <v>35431</v>
      </c>
      <c r="F28" s="109" t="str">
        <f t="shared" si="0"/>
        <v>1996-97</v>
      </c>
      <c r="H28" s="120" t="s">
        <v>255</v>
      </c>
      <c r="I28" s="26">
        <v>160175</v>
      </c>
      <c r="J28" s="102">
        <f>IFERROR(MIN('MP Calculations'!$E$29/I28,1),"-")</f>
        <v>0.50792864054939912</v>
      </c>
      <c r="K28" s="37"/>
      <c r="L28" s="26">
        <v>1</v>
      </c>
      <c r="M28" s="26"/>
      <c r="N28" s="26">
        <v>1374112.7976799998</v>
      </c>
      <c r="O28" s="96">
        <f t="shared" si="1"/>
        <v>1374112.7976799998</v>
      </c>
      <c r="P28" s="98">
        <f t="shared" si="2"/>
        <v>697951.24528713385</v>
      </c>
    </row>
    <row r="29" spans="3:18" x14ac:dyDescent="0.25">
      <c r="C29" s="26"/>
      <c r="D29" s="197">
        <v>1998</v>
      </c>
      <c r="E29" s="34">
        <v>35796</v>
      </c>
      <c r="F29" s="109" t="str">
        <f t="shared" si="0"/>
        <v>1997-98</v>
      </c>
      <c r="H29" s="120" t="s">
        <v>255</v>
      </c>
      <c r="I29" s="26">
        <v>160175</v>
      </c>
      <c r="J29" s="102">
        <f>IFERROR(MIN('MP Calculations'!$E$29/I29,1),"-")</f>
        <v>0.50792864054939912</v>
      </c>
      <c r="K29" s="37"/>
      <c r="L29" s="26">
        <v>1</v>
      </c>
      <c r="M29" s="26"/>
      <c r="N29" s="26">
        <v>250564.29610999997</v>
      </c>
      <c r="O29" s="96">
        <f t="shared" si="1"/>
        <v>250564.29610999997</v>
      </c>
      <c r="P29" s="98">
        <f t="shared" si="2"/>
        <v>127268.78229336938</v>
      </c>
    </row>
    <row r="30" spans="3:18" x14ac:dyDescent="0.25">
      <c r="C30" s="26"/>
      <c r="D30" s="197">
        <v>1999</v>
      </c>
      <c r="E30" s="34">
        <v>36161</v>
      </c>
      <c r="F30" s="109" t="str">
        <f t="shared" si="0"/>
        <v>1998-99</v>
      </c>
      <c r="H30" s="120" t="s">
        <v>255</v>
      </c>
      <c r="I30" s="26">
        <v>160175</v>
      </c>
      <c r="J30" s="102">
        <f>IFERROR(MIN('MP Calculations'!$E$29/I30,1),"-")</f>
        <v>0.50792864054939912</v>
      </c>
      <c r="K30" s="37"/>
      <c r="L30" s="26">
        <v>1</v>
      </c>
      <c r="M30" s="26"/>
      <c r="N30" s="26">
        <v>1239988.5918799997</v>
      </c>
      <c r="O30" s="96">
        <f t="shared" si="1"/>
        <v>1239988.5918799997</v>
      </c>
      <c r="P30" s="98">
        <f t="shared" si="2"/>
        <v>629825.71977037191</v>
      </c>
    </row>
    <row r="31" spans="3:18" x14ac:dyDescent="0.25">
      <c r="C31" s="26"/>
      <c r="D31" s="197">
        <v>2000</v>
      </c>
      <c r="E31" s="34">
        <v>36526</v>
      </c>
      <c r="F31" s="109" t="str">
        <f t="shared" si="0"/>
        <v>1999-00</v>
      </c>
      <c r="H31" s="120" t="s">
        <v>255</v>
      </c>
      <c r="I31" s="26">
        <v>160175</v>
      </c>
      <c r="J31" s="102">
        <f>IFERROR(MIN('MP Calculations'!$E$29/I31,1),"-")</f>
        <v>0.50792864054939912</v>
      </c>
      <c r="K31" s="37"/>
      <c r="L31" s="26">
        <v>1</v>
      </c>
      <c r="M31" s="26"/>
      <c r="N31" s="26">
        <v>484957.02338000003</v>
      </c>
      <c r="O31" s="96">
        <f t="shared" si="1"/>
        <v>484957.02338000003</v>
      </c>
      <c r="P31" s="98">
        <f t="shared" si="2"/>
        <v>246323.56161028659</v>
      </c>
    </row>
    <row r="32" spans="3:18" x14ac:dyDescent="0.25">
      <c r="C32" s="26"/>
      <c r="D32" s="197">
        <v>2001</v>
      </c>
      <c r="E32" s="34">
        <v>36892</v>
      </c>
      <c r="F32" s="109" t="str">
        <f t="shared" si="0"/>
        <v>2000-01</v>
      </c>
      <c r="H32" s="120" t="s">
        <v>255</v>
      </c>
      <c r="I32" s="26">
        <v>160175</v>
      </c>
      <c r="J32" s="102">
        <f>IFERROR(MIN('MP Calculations'!$E$29/I32,1),"-")</f>
        <v>0.50792864054939912</v>
      </c>
      <c r="K32" s="37"/>
      <c r="L32" s="26">
        <v>1</v>
      </c>
      <c r="M32" s="26"/>
      <c r="N32" s="26">
        <v>802200.33288999996</v>
      </c>
      <c r="O32" s="96">
        <f t="shared" si="1"/>
        <v>802200.33288999996</v>
      </c>
      <c r="P32" s="98">
        <f t="shared" si="2"/>
        <v>407460.52453309309</v>
      </c>
    </row>
    <row r="33" spans="3:16" x14ac:dyDescent="0.25">
      <c r="C33" s="26"/>
      <c r="D33" s="197">
        <v>2002</v>
      </c>
      <c r="E33" s="34">
        <v>37257</v>
      </c>
      <c r="F33" s="109" t="str">
        <f t="shared" si="0"/>
        <v>2001-02</v>
      </c>
      <c r="H33" s="120" t="s">
        <v>255</v>
      </c>
      <c r="I33" s="26">
        <v>160175</v>
      </c>
      <c r="J33" s="102">
        <f>IFERROR(MIN('MP Calculations'!$E$29/I33,1),"-")</f>
        <v>0.50792864054939912</v>
      </c>
      <c r="K33" s="37"/>
      <c r="L33" s="26">
        <v>1</v>
      </c>
      <c r="M33" s="26"/>
      <c r="N33" s="26">
        <v>901571.87841</v>
      </c>
      <c r="O33" s="96">
        <f t="shared" si="1"/>
        <v>901571.87841</v>
      </c>
      <c r="P33" s="98">
        <f t="shared" si="2"/>
        <v>457934.17855835945</v>
      </c>
    </row>
    <row r="34" spans="3:16" x14ac:dyDescent="0.25">
      <c r="C34" s="26"/>
      <c r="D34" s="197">
        <v>2003</v>
      </c>
      <c r="E34" s="34">
        <v>37622</v>
      </c>
      <c r="F34" s="109" t="str">
        <f t="shared" si="0"/>
        <v>2002-03</v>
      </c>
      <c r="H34" s="120" t="s">
        <v>255</v>
      </c>
      <c r="I34" s="26">
        <v>160175</v>
      </c>
      <c r="J34" s="102">
        <f>IFERROR(MIN('MP Calculations'!$E$29/I34,1),"-")</f>
        <v>0.50792864054939912</v>
      </c>
      <c r="K34" s="37"/>
      <c r="L34" s="26">
        <v>1</v>
      </c>
      <c r="M34" s="26"/>
      <c r="N34" s="26">
        <v>1875934.4613399997</v>
      </c>
      <c r="O34" s="96">
        <f t="shared" si="1"/>
        <v>1875934.4613399997</v>
      </c>
      <c r="P34" s="98">
        <f t="shared" si="2"/>
        <v>952840.84070819535</v>
      </c>
    </row>
    <row r="35" spans="3:16" x14ac:dyDescent="0.25">
      <c r="C35" s="26"/>
      <c r="D35" s="197">
        <v>2004</v>
      </c>
      <c r="E35" s="34">
        <v>37987</v>
      </c>
      <c r="F35" s="109" t="str">
        <f t="shared" si="0"/>
        <v>2003-04</v>
      </c>
      <c r="H35" s="120" t="s">
        <v>255</v>
      </c>
      <c r="I35" s="26">
        <v>160175</v>
      </c>
      <c r="J35" s="102">
        <f>IFERROR(MIN('MP Calculations'!$E$29/I35,1),"-")</f>
        <v>0.50792864054939912</v>
      </c>
      <c r="K35" s="37"/>
      <c r="L35" s="26">
        <v>1</v>
      </c>
      <c r="M35" s="26"/>
      <c r="N35" s="26">
        <v>1376180.1146800003</v>
      </c>
      <c r="O35" s="96">
        <f t="shared" si="1"/>
        <v>1376180.1146800003</v>
      </c>
      <c r="P35" s="98">
        <f t="shared" si="2"/>
        <v>699001.29480052879</v>
      </c>
    </row>
    <row r="36" spans="3:16" x14ac:dyDescent="0.25">
      <c r="C36" s="26"/>
      <c r="D36" s="197">
        <v>2005</v>
      </c>
      <c r="E36" s="34">
        <v>38353</v>
      </c>
      <c r="F36" s="109" t="str">
        <f t="shared" si="0"/>
        <v>2004-05</v>
      </c>
      <c r="H36" s="120" t="s">
        <v>255</v>
      </c>
      <c r="I36" s="26">
        <v>160175</v>
      </c>
      <c r="J36" s="102">
        <f>IFERROR(MIN('MP Calculations'!$E$29/I36,1),"-")</f>
        <v>0.50792864054939912</v>
      </c>
      <c r="K36" s="37"/>
      <c r="L36" s="26">
        <v>1</v>
      </c>
      <c r="M36" s="26"/>
      <c r="N36" s="26">
        <v>171.6283</v>
      </c>
      <c r="O36" s="96">
        <f t="shared" si="1"/>
        <v>171.6283</v>
      </c>
      <c r="P36" s="98">
        <f t="shared" si="2"/>
        <v>87.174929098804441</v>
      </c>
    </row>
    <row r="37" spans="3:16" x14ac:dyDescent="0.25">
      <c r="C37" s="26"/>
      <c r="D37" s="197">
        <v>2006</v>
      </c>
      <c r="E37" s="34">
        <v>38718</v>
      </c>
      <c r="F37" s="109" t="str">
        <f t="shared" si="0"/>
        <v>2005-06</v>
      </c>
      <c r="H37" s="120" t="s">
        <v>255</v>
      </c>
      <c r="I37" s="26">
        <v>160175</v>
      </c>
      <c r="J37" s="102">
        <f>IFERROR(MIN('MP Calculations'!$E$29/I37,1),"-")</f>
        <v>0.50792864054939912</v>
      </c>
      <c r="K37" s="37"/>
      <c r="L37" s="26">
        <v>1</v>
      </c>
      <c r="M37" s="26"/>
      <c r="N37" s="26">
        <v>424216.23355000006</v>
      </c>
      <c r="O37" s="96">
        <f t="shared" si="1"/>
        <v>424216.23355000006</v>
      </c>
      <c r="P37" s="98">
        <f t="shared" si="2"/>
        <v>215471.57480603794</v>
      </c>
    </row>
    <row r="38" spans="3:16" x14ac:dyDescent="0.25">
      <c r="C38" s="26"/>
      <c r="D38" s="197">
        <v>2007</v>
      </c>
      <c r="E38" s="34">
        <v>39083</v>
      </c>
      <c r="F38" s="109" t="str">
        <f t="shared" si="0"/>
        <v>2006-07</v>
      </c>
      <c r="H38" s="120" t="s">
        <v>255</v>
      </c>
      <c r="I38" s="26">
        <v>160175</v>
      </c>
      <c r="J38" s="102">
        <f>IFERROR(MIN('MP Calculations'!$E$29/I38,1),"-")</f>
        <v>0.50792864054939912</v>
      </c>
      <c r="K38" s="37"/>
      <c r="L38" s="26">
        <v>1</v>
      </c>
      <c r="M38" s="26"/>
      <c r="N38" s="26">
        <v>484518.61974999984</v>
      </c>
      <c r="O38" s="96">
        <f t="shared" si="1"/>
        <v>484518.61974999984</v>
      </c>
      <c r="P38" s="98">
        <f t="shared" si="2"/>
        <v>246100.88385048867</v>
      </c>
    </row>
    <row r="39" spans="3:16" x14ac:dyDescent="0.25">
      <c r="C39" s="26"/>
      <c r="D39" s="197">
        <v>2008</v>
      </c>
      <c r="E39" s="34">
        <v>39448</v>
      </c>
      <c r="F39" s="109" t="str">
        <f t="shared" si="0"/>
        <v>2007-08</v>
      </c>
      <c r="H39" s="120" t="s">
        <v>255</v>
      </c>
      <c r="I39" s="26">
        <v>160175</v>
      </c>
      <c r="J39" s="102">
        <f>IFERROR(MIN('MP Calculations'!$E$29/I39,1),"-")</f>
        <v>0.50792864054939912</v>
      </c>
      <c r="K39" s="37"/>
      <c r="L39" s="26">
        <v>1</v>
      </c>
      <c r="M39" s="26"/>
      <c r="N39" s="26">
        <v>159732.40936000002</v>
      </c>
      <c r="O39" s="96">
        <f t="shared" si="1"/>
        <v>159732.40936000002</v>
      </c>
      <c r="P39" s="98">
        <f t="shared" si="2"/>
        <v>81132.665537904933</v>
      </c>
    </row>
    <row r="40" spans="3:16" x14ac:dyDescent="0.25">
      <c r="C40" s="26"/>
      <c r="D40" s="197">
        <v>2009</v>
      </c>
      <c r="E40" s="34">
        <v>39814</v>
      </c>
      <c r="F40" s="109" t="str">
        <f t="shared" si="0"/>
        <v>2008-09</v>
      </c>
      <c r="H40" s="120" t="s">
        <v>255</v>
      </c>
      <c r="I40" s="26">
        <v>160175</v>
      </c>
      <c r="J40" s="102">
        <f>IFERROR(MIN('MP Calculations'!$E$29/I40,1),"-")</f>
        <v>0.50792864054939912</v>
      </c>
      <c r="K40" s="37"/>
      <c r="L40" s="26">
        <v>1</v>
      </c>
      <c r="M40" s="26"/>
      <c r="N40" s="26">
        <v>151731.47216999999</v>
      </c>
      <c r="O40" s="96">
        <f t="shared" si="1"/>
        <v>151731.47216999999</v>
      </c>
      <c r="P40" s="98">
        <f t="shared" si="2"/>
        <v>77068.760387867078</v>
      </c>
    </row>
    <row r="41" spans="3:16" x14ac:dyDescent="0.25">
      <c r="C41" s="26"/>
      <c r="D41" s="197">
        <v>2010</v>
      </c>
      <c r="E41" s="34">
        <v>40179</v>
      </c>
      <c r="F41" s="109" t="str">
        <f t="shared" si="0"/>
        <v>2009-10</v>
      </c>
      <c r="H41" s="120" t="s">
        <v>255</v>
      </c>
      <c r="I41" s="26">
        <v>160175</v>
      </c>
      <c r="J41" s="102">
        <f>IFERROR(MIN('MP Calculations'!$E$29/I41,1),"-")</f>
        <v>0.50792864054939912</v>
      </c>
      <c r="K41" s="37"/>
      <c r="L41" s="26">
        <v>1</v>
      </c>
      <c r="M41" s="26"/>
      <c r="N41" s="26">
        <v>327036.63260999997</v>
      </c>
      <c r="O41" s="96">
        <f t="shared" si="1"/>
        <v>327036.63260999997</v>
      </c>
      <c r="P41" s="98">
        <f t="shared" si="2"/>
        <v>166111.27221145059</v>
      </c>
    </row>
    <row r="42" spans="3:16" x14ac:dyDescent="0.25">
      <c r="C42" s="26"/>
      <c r="D42" s="197">
        <v>2011</v>
      </c>
      <c r="E42" s="34">
        <v>40544</v>
      </c>
      <c r="F42" s="109" t="str">
        <f t="shared" si="0"/>
        <v>2010-11</v>
      </c>
      <c r="H42" s="120" t="s">
        <v>255</v>
      </c>
      <c r="I42" s="26">
        <v>160175</v>
      </c>
      <c r="J42" s="102">
        <f>IFERROR(MIN('MP Calculations'!$E$29/I42,1),"-")</f>
        <v>0.50792864054939912</v>
      </c>
      <c r="K42" s="37"/>
      <c r="L42" s="26">
        <v>1</v>
      </c>
      <c r="M42" s="26"/>
      <c r="N42" s="26">
        <v>77734.219649999985</v>
      </c>
      <c r="O42" s="96">
        <f t="shared" si="1"/>
        <v>77734.219649999985</v>
      </c>
      <c r="P42" s="98">
        <f t="shared" si="2"/>
        <v>39483.436510992877</v>
      </c>
    </row>
    <row r="43" spans="3:16" x14ac:dyDescent="0.25">
      <c r="C43" s="26"/>
      <c r="D43" s="197">
        <v>2012</v>
      </c>
      <c r="E43" s="34">
        <v>40909</v>
      </c>
      <c r="F43" s="109" t="str">
        <f t="shared" si="0"/>
        <v>2011-12</v>
      </c>
      <c r="H43" s="120" t="s">
        <v>255</v>
      </c>
      <c r="I43" s="26">
        <v>160175</v>
      </c>
      <c r="J43" s="102">
        <f>IFERROR(MIN('MP Calculations'!$E$29/I43,1),"-")</f>
        <v>0.50792864054939912</v>
      </c>
      <c r="K43" s="37"/>
      <c r="L43" s="26">
        <v>1</v>
      </c>
      <c r="M43" s="26"/>
      <c r="N43" s="26">
        <v>225448.88542999999</v>
      </c>
      <c r="O43" s="96">
        <f t="shared" si="1"/>
        <v>225448.88542999999</v>
      </c>
      <c r="P43" s="98">
        <f t="shared" si="2"/>
        <v>114511.94588983714</v>
      </c>
    </row>
    <row r="44" spans="3:16" x14ac:dyDescent="0.25">
      <c r="C44" s="26"/>
      <c r="D44" s="197">
        <v>2013</v>
      </c>
      <c r="E44" s="34">
        <v>41275</v>
      </c>
      <c r="F44" s="109" t="str">
        <f t="shared" si="0"/>
        <v>2012-13</v>
      </c>
      <c r="H44" s="120" t="s">
        <v>255</v>
      </c>
      <c r="I44" s="26">
        <v>160175</v>
      </c>
      <c r="J44" s="102">
        <f>IFERROR(MIN('MP Calculations'!$E$29/I44,1),"-")</f>
        <v>0.50792864054939912</v>
      </c>
      <c r="K44" s="37"/>
      <c r="L44" s="26">
        <v>1</v>
      </c>
      <c r="M44" s="26"/>
      <c r="N44" s="26">
        <v>507415.46401999984</v>
      </c>
      <c r="O44" s="96">
        <f t="shared" si="1"/>
        <v>507415.46401999984</v>
      </c>
      <c r="P44" s="98">
        <f t="shared" si="2"/>
        <v>257730.84683342106</v>
      </c>
    </row>
    <row r="45" spans="3:16" x14ac:dyDescent="0.25">
      <c r="C45" s="26"/>
      <c r="D45" s="197">
        <v>2014</v>
      </c>
      <c r="E45" s="34">
        <v>41640</v>
      </c>
      <c r="F45" s="109" t="str">
        <f t="shared" si="0"/>
        <v>2013-14</v>
      </c>
      <c r="H45" s="120" t="s">
        <v>255</v>
      </c>
      <c r="I45" s="26">
        <v>160175</v>
      </c>
      <c r="J45" s="102">
        <f>IFERROR(MIN('MP Calculations'!$E$29/I45,1),"-")</f>
        <v>0.50792864054939912</v>
      </c>
      <c r="K45" s="37"/>
      <c r="L45" s="26">
        <v>1</v>
      </c>
      <c r="M45" s="26"/>
      <c r="N45" s="26">
        <v>374971.66007999994</v>
      </c>
      <c r="O45" s="96">
        <f t="shared" si="1"/>
        <v>374971.66007999994</v>
      </c>
      <c r="P45" s="98">
        <f t="shared" si="2"/>
        <v>190458.84554898576</v>
      </c>
    </row>
    <row r="46" spans="3:16" x14ac:dyDescent="0.25">
      <c r="C46" s="26"/>
      <c r="D46" s="197">
        <v>2015</v>
      </c>
      <c r="E46" s="34">
        <v>42005</v>
      </c>
      <c r="F46" s="109" t="str">
        <f t="shared" si="0"/>
        <v>2014-15</v>
      </c>
      <c r="H46" s="120" t="s">
        <v>255</v>
      </c>
      <c r="I46" s="26">
        <v>160175</v>
      </c>
      <c r="J46" s="102">
        <f>IFERROR(MIN('MP Calculations'!$E$29/I46,1),"-")</f>
        <v>0.50792864054939912</v>
      </c>
      <c r="K46" s="37"/>
      <c r="L46" s="26">
        <v>1</v>
      </c>
      <c r="M46" s="26"/>
      <c r="N46" s="26">
        <v>1493726.83442</v>
      </c>
      <c r="O46" s="96">
        <f t="shared" si="1"/>
        <v>1493726.83442</v>
      </c>
      <c r="P46" s="98">
        <f t="shared" si="2"/>
        <v>758706.64035910799</v>
      </c>
    </row>
    <row r="47" spans="3:16" x14ac:dyDescent="0.25">
      <c r="C47" s="26"/>
      <c r="D47" s="197">
        <v>2016</v>
      </c>
      <c r="E47" s="34">
        <v>42370</v>
      </c>
      <c r="F47" s="109" t="str">
        <f t="shared" si="0"/>
        <v>2015-16</v>
      </c>
      <c r="H47" s="120" t="s">
        <v>255</v>
      </c>
      <c r="I47" s="26">
        <v>160175</v>
      </c>
      <c r="J47" s="102">
        <f>IFERROR(MIN('MP Calculations'!$E$29/I47,1),"-")</f>
        <v>0.50792864054939912</v>
      </c>
      <c r="K47" s="37"/>
      <c r="L47" s="26">
        <v>1</v>
      </c>
      <c r="M47" s="26"/>
      <c r="N47" s="26">
        <v>929916.41301999975</v>
      </c>
      <c r="O47" s="96">
        <f t="shared" si="1"/>
        <v>929916.41301999975</v>
      </c>
      <c r="P47" s="98">
        <f t="shared" si="2"/>
        <v>472331.17948982201</v>
      </c>
    </row>
    <row r="48" spans="3:16" x14ac:dyDescent="0.25">
      <c r="C48" s="26"/>
      <c r="D48" s="197">
        <v>2017</v>
      </c>
      <c r="E48" s="34">
        <v>42736</v>
      </c>
      <c r="F48" s="109" t="str">
        <f t="shared" si="0"/>
        <v>2016-17</v>
      </c>
      <c r="H48" s="120" t="s">
        <v>255</v>
      </c>
      <c r="I48" s="26">
        <v>160175</v>
      </c>
      <c r="J48" s="102">
        <f>IFERROR(MIN('MP Calculations'!$E$29/I48,1),"-")</f>
        <v>0.50792864054939912</v>
      </c>
      <c r="K48" s="37"/>
      <c r="L48" s="26">
        <v>1</v>
      </c>
      <c r="M48" s="26"/>
      <c r="N48" s="26">
        <v>181903.13874999995</v>
      </c>
      <c r="O48" s="96">
        <f t="shared" si="1"/>
        <v>181903.13874999995</v>
      </c>
      <c r="P48" s="98">
        <f t="shared" si="2"/>
        <v>92393.813976956197</v>
      </c>
    </row>
    <row r="49" spans="3:16" x14ac:dyDescent="0.25">
      <c r="C49" s="26"/>
      <c r="D49" s="197">
        <v>2018</v>
      </c>
      <c r="E49" s="34">
        <v>43101</v>
      </c>
      <c r="F49" s="109" t="str">
        <f t="shared" si="0"/>
        <v>2017-18</v>
      </c>
      <c r="H49" s="120" t="s">
        <v>255</v>
      </c>
      <c r="I49" s="26">
        <v>160175</v>
      </c>
      <c r="J49" s="102">
        <f>IFERROR(MIN('MP Calculations'!$E$29/I49,1),"-")</f>
        <v>0.50792864054939912</v>
      </c>
      <c r="K49" s="37"/>
      <c r="L49" s="26">
        <v>1</v>
      </c>
      <c r="M49" s="26"/>
      <c r="N49" s="26">
        <v>448382.71734999988</v>
      </c>
      <c r="O49" s="96">
        <f t="shared" si="1"/>
        <v>448382.71734999988</v>
      </c>
      <c r="P49" s="98">
        <f t="shared" si="2"/>
        <v>227746.42406943091</v>
      </c>
    </row>
    <row r="50" spans="3:16" x14ac:dyDescent="0.25">
      <c r="C50" s="26"/>
      <c r="D50" s="197">
        <v>2019</v>
      </c>
      <c r="E50" s="34">
        <v>43466</v>
      </c>
      <c r="F50" s="109" t="str">
        <f t="shared" si="0"/>
        <v>2018-19</v>
      </c>
      <c r="H50" s="120" t="s">
        <v>255</v>
      </c>
      <c r="I50" s="26">
        <v>160175</v>
      </c>
      <c r="J50" s="102">
        <f>IFERROR(MIN('MP Calculations'!$E$29/I50,1),"-")</f>
        <v>0.50792864054939912</v>
      </c>
      <c r="K50" s="37"/>
      <c r="L50" s="26">
        <v>1</v>
      </c>
      <c r="M50" s="26"/>
      <c r="N50" s="26">
        <v>393460.06383</v>
      </c>
      <c r="O50" s="96">
        <f t="shared" si="1"/>
        <v>393460.06383</v>
      </c>
      <c r="P50" s="98">
        <f t="shared" si="2"/>
        <v>199849.63533165172</v>
      </c>
    </row>
    <row r="51" spans="3:16" x14ac:dyDescent="0.25">
      <c r="C51" s="26"/>
      <c r="D51" s="197">
        <v>2020</v>
      </c>
      <c r="E51" s="34">
        <v>43831</v>
      </c>
      <c r="F51" s="109" t="str">
        <f t="shared" si="0"/>
        <v>2019-20</v>
      </c>
      <c r="H51" s="120" t="s">
        <v>255</v>
      </c>
      <c r="I51" s="26">
        <v>160175</v>
      </c>
      <c r="J51" s="102">
        <f>IFERROR(MIN('MP Calculations'!$E$29/I51,1),"-")</f>
        <v>0.50792864054939912</v>
      </c>
      <c r="K51" s="37"/>
      <c r="L51" s="26">
        <v>1</v>
      </c>
      <c r="M51" s="26"/>
      <c r="N51" s="205">
        <v>228709.47629999998</v>
      </c>
      <c r="O51" s="96">
        <f t="shared" si="1"/>
        <v>228709.47629999998</v>
      </c>
      <c r="P51" s="98">
        <f t="shared" si="2"/>
        <v>116168.09337782401</v>
      </c>
    </row>
    <row r="52" spans="3:16" x14ac:dyDescent="0.25">
      <c r="C52" s="26"/>
      <c r="D52" s="197" t="s">
        <v>257</v>
      </c>
      <c r="E52" s="34">
        <v>44197</v>
      </c>
      <c r="F52" s="109" t="str">
        <f t="shared" ref="F52" si="3">IF(E52="","-",IF(OR(E52&lt;$E$15,E52&gt;$E$16),"ERROR - date outside of range",IF(MONTH(E52)&gt;=7,YEAR(E52)&amp;"-"&amp;IF(YEAR(E52)=1999,"00",IF(AND(YEAR(E52)&gt;=2000,YEAR(E52)&lt;2009),"0","")&amp;RIGHT(YEAR(E52),2)+1),RIGHT(YEAR(E52),4)-1&amp;"-"&amp;RIGHT(YEAR(E52),2))))</f>
        <v>2020-21</v>
      </c>
      <c r="H52" s="120" t="s">
        <v>255</v>
      </c>
      <c r="I52" s="26">
        <v>160175</v>
      </c>
      <c r="J52" s="102">
        <f>IFERROR(MIN('MP Calculations'!$E$29/I52,1),"-")</f>
        <v>0.50792864054939912</v>
      </c>
      <c r="K52" s="37"/>
      <c r="L52" s="26">
        <v>1</v>
      </c>
      <c r="M52" s="26"/>
      <c r="N52" s="205">
        <v>64678.539999999994</v>
      </c>
      <c r="O52" s="96">
        <f t="shared" ref="O52:O55" si="4">IF(N52="","-",L52*N52)</f>
        <v>64678.539999999994</v>
      </c>
      <c r="P52" s="98">
        <f t="shared" ref="P52:P55" si="5">IF(O52="-","-",IF(OR(E52&lt;$E$15,E52&gt;$E$16),0,O52*J52))</f>
        <v>32852.082894919928</v>
      </c>
    </row>
    <row r="53" spans="3:16" x14ac:dyDescent="0.25">
      <c r="C53" s="26"/>
      <c r="D53" s="197">
        <v>2022</v>
      </c>
      <c r="E53" s="34">
        <v>44562</v>
      </c>
      <c r="F53" s="109" t="str">
        <f t="shared" si="0"/>
        <v>2021-22</v>
      </c>
      <c r="H53" s="120" t="s">
        <v>255</v>
      </c>
      <c r="I53" s="26">
        <v>160175</v>
      </c>
      <c r="J53" s="102">
        <f>IFERROR(MIN('MP Calculations'!$E$29/I53,1),"-")</f>
        <v>0.50792864054939912</v>
      </c>
      <c r="K53" s="37"/>
      <c r="L53" s="26">
        <v>1</v>
      </c>
      <c r="M53" s="26"/>
      <c r="N53" s="26">
        <v>225809.17874</v>
      </c>
      <c r="O53" s="96">
        <f t="shared" si="4"/>
        <v>225809.17874</v>
      </c>
      <c r="P53" s="98">
        <f t="shared" si="5"/>
        <v>114694.94918098448</v>
      </c>
    </row>
    <row r="54" spans="3:16" x14ac:dyDescent="0.25">
      <c r="C54" s="26"/>
      <c r="D54" s="197" t="s">
        <v>258</v>
      </c>
      <c r="E54" s="34">
        <v>44927</v>
      </c>
      <c r="F54" s="109" t="str">
        <f t="shared" si="0"/>
        <v>2022-23</v>
      </c>
      <c r="H54" s="120" t="s">
        <v>255</v>
      </c>
      <c r="I54" s="26">
        <v>160175</v>
      </c>
      <c r="J54" s="102">
        <f>IFERROR(MIN('MP Calculations'!$E$29/I54,1),"-")</f>
        <v>0.50792864054939912</v>
      </c>
      <c r="K54" s="37"/>
      <c r="L54" s="26">
        <v>1</v>
      </c>
      <c r="M54" s="26"/>
      <c r="N54" s="205">
        <v>526040.21399999992</v>
      </c>
      <c r="O54" s="96">
        <f t="shared" si="4"/>
        <v>526040.21399999992</v>
      </c>
      <c r="P54" s="98">
        <f t="shared" si="5"/>
        <v>267190.89077133493</v>
      </c>
    </row>
    <row r="55" spans="3:16" x14ac:dyDescent="0.25">
      <c r="C55" s="26"/>
      <c r="D55" s="197" t="s">
        <v>259</v>
      </c>
      <c r="E55" s="34">
        <v>45292</v>
      </c>
      <c r="F55" s="109" t="str">
        <f t="shared" si="0"/>
        <v>2023-24</v>
      </c>
      <c r="H55" s="120" t="s">
        <v>255</v>
      </c>
      <c r="I55" s="26">
        <v>160175</v>
      </c>
      <c r="J55" s="102">
        <f>IFERROR(MIN('MP Calculations'!$E$29/I55,1),"-")</f>
        <v>0.50792864054939912</v>
      </c>
      <c r="K55" s="37"/>
      <c r="L55" s="26">
        <v>1</v>
      </c>
      <c r="M55" s="26"/>
      <c r="N55" s="205">
        <v>1459914.8821999999</v>
      </c>
      <c r="O55" s="96">
        <f t="shared" si="4"/>
        <v>1459914.8821999999</v>
      </c>
      <c r="P55" s="98">
        <f t="shared" si="5"/>
        <v>741532.58143368212</v>
      </c>
    </row>
    <row r="56" spans="3:16" x14ac:dyDescent="0.25">
      <c r="C56" s="26"/>
      <c r="D56" s="116"/>
      <c r="E56" s="34"/>
      <c r="F56" s="109" t="str">
        <f t="shared" si="0"/>
        <v>-</v>
      </c>
      <c r="H56" s="120"/>
      <c r="I56" s="26"/>
      <c r="J56" s="102" t="str">
        <f>IFERROR(MIN('MP Calculations'!$E$29/I56,1),"-")</f>
        <v>-</v>
      </c>
      <c r="K56" s="37"/>
      <c r="L56" s="26"/>
      <c r="M56" s="26"/>
      <c r="N56" s="26"/>
      <c r="O56" s="96" t="str">
        <f t="shared" si="1"/>
        <v>-</v>
      </c>
      <c r="P56" s="98" t="str">
        <f t="shared" si="2"/>
        <v>-</v>
      </c>
    </row>
    <row r="57" spans="3:16" x14ac:dyDescent="0.25">
      <c r="C57" s="26"/>
      <c r="D57" s="196" t="s">
        <v>202</v>
      </c>
      <c r="E57" s="34"/>
      <c r="F57" s="109" t="str">
        <f t="shared" si="0"/>
        <v>-</v>
      </c>
      <c r="H57" s="120"/>
      <c r="I57" s="26"/>
      <c r="J57" s="102" t="str">
        <f>IFERROR(MIN('MP Calculations'!$E$29/I57,1),"-")</f>
        <v>-</v>
      </c>
      <c r="K57" s="37"/>
      <c r="L57" s="26"/>
      <c r="M57" s="26"/>
      <c r="N57" s="26"/>
      <c r="O57" s="96" t="str">
        <f t="shared" si="1"/>
        <v>-</v>
      </c>
      <c r="P57" s="98" t="str">
        <f t="shared" si="2"/>
        <v>-</v>
      </c>
    </row>
    <row r="58" spans="3:16" x14ac:dyDescent="0.25">
      <c r="C58" s="26"/>
      <c r="D58" s="197">
        <v>1996</v>
      </c>
      <c r="E58" s="34">
        <v>35065</v>
      </c>
      <c r="F58" s="109" t="str">
        <f t="shared" si="0"/>
        <v>1995-96</v>
      </c>
      <c r="H58" s="120" t="s">
        <v>255</v>
      </c>
      <c r="I58" s="26">
        <v>160175</v>
      </c>
      <c r="J58" s="102">
        <f>IFERROR(MIN('MP Calculations'!$E$29/I58,1),"-")</f>
        <v>0.50792864054939912</v>
      </c>
      <c r="K58" s="37"/>
      <c r="L58" s="26">
        <v>1</v>
      </c>
      <c r="M58" s="26"/>
      <c r="N58" s="26">
        <v>2327244.0350199994</v>
      </c>
      <c r="O58" s="96">
        <f t="shared" si="1"/>
        <v>2327244.0350199994</v>
      </c>
      <c r="P58" s="98">
        <f t="shared" si="2"/>
        <v>1182073.8989344065</v>
      </c>
    </row>
    <row r="59" spans="3:16" x14ac:dyDescent="0.25">
      <c r="C59" s="26"/>
      <c r="D59" s="197">
        <v>1997</v>
      </c>
      <c r="E59" s="34">
        <v>35431</v>
      </c>
      <c r="F59" s="109" t="str">
        <f t="shared" si="0"/>
        <v>1996-97</v>
      </c>
      <c r="H59" s="120" t="s">
        <v>255</v>
      </c>
      <c r="I59" s="26">
        <v>160175</v>
      </c>
      <c r="J59" s="102">
        <f>IFERROR(MIN('MP Calculations'!$E$29/I59,1),"-")</f>
        <v>0.50792864054939912</v>
      </c>
      <c r="K59" s="37"/>
      <c r="L59" s="26">
        <v>1</v>
      </c>
      <c r="M59" s="26"/>
      <c r="N59" s="26">
        <v>1793115.1988999997</v>
      </c>
      <c r="O59" s="96">
        <f t="shared" si="1"/>
        <v>1793115.1988999997</v>
      </c>
      <c r="P59" s="98">
        <f t="shared" si="2"/>
        <v>910774.56532574224</v>
      </c>
    </row>
    <row r="60" spans="3:16" x14ac:dyDescent="0.25">
      <c r="C60" s="26"/>
      <c r="D60" s="197">
        <v>2001</v>
      </c>
      <c r="E60" s="34">
        <v>36892</v>
      </c>
      <c r="F60" s="109" t="str">
        <f t="shared" si="0"/>
        <v>2000-01</v>
      </c>
      <c r="H60" s="120" t="s">
        <v>255</v>
      </c>
      <c r="I60" s="26">
        <v>160175</v>
      </c>
      <c r="J60" s="102">
        <f>IFERROR(MIN('MP Calculations'!$E$29/I60,1),"-")</f>
        <v>0.50792864054939912</v>
      </c>
      <c r="K60" s="37"/>
      <c r="L60" s="26">
        <v>1</v>
      </c>
      <c r="M60" s="26"/>
      <c r="N60" s="26">
        <v>463648.21908999991</v>
      </c>
      <c r="O60" s="96">
        <f t="shared" si="1"/>
        <v>463648.21908999991</v>
      </c>
      <c r="P60" s="98">
        <f t="shared" si="2"/>
        <v>235500.20961553362</v>
      </c>
    </row>
    <row r="61" spans="3:16" x14ac:dyDescent="0.25">
      <c r="C61" s="26"/>
      <c r="D61" s="197">
        <v>2003</v>
      </c>
      <c r="E61" s="34">
        <v>37622</v>
      </c>
      <c r="F61" s="109" t="str">
        <f t="shared" si="0"/>
        <v>2002-03</v>
      </c>
      <c r="H61" s="120" t="s">
        <v>255</v>
      </c>
      <c r="I61" s="26">
        <v>160175</v>
      </c>
      <c r="J61" s="102">
        <f>IFERROR(MIN('MP Calculations'!$E$29/I61,1),"-")</f>
        <v>0.50792864054939912</v>
      </c>
      <c r="K61" s="37"/>
      <c r="L61" s="26">
        <v>1</v>
      </c>
      <c r="M61" s="26"/>
      <c r="N61" s="26">
        <v>904884.13643999968</v>
      </c>
      <c r="O61" s="96">
        <f t="shared" si="1"/>
        <v>904884.13643999968</v>
      </c>
      <c r="P61" s="98">
        <f t="shared" si="2"/>
        <v>459616.56927668606</v>
      </c>
    </row>
    <row r="62" spans="3:16" x14ac:dyDescent="0.25">
      <c r="C62" s="26"/>
      <c r="D62" s="197">
        <v>2004</v>
      </c>
      <c r="E62" s="34">
        <v>37987</v>
      </c>
      <c r="F62" s="109" t="str">
        <f t="shared" si="0"/>
        <v>2003-04</v>
      </c>
      <c r="H62" s="120" t="s">
        <v>255</v>
      </c>
      <c r="I62" s="26">
        <v>160175</v>
      </c>
      <c r="J62" s="102">
        <f>IFERROR(MIN('MP Calculations'!$E$29/I62,1),"-")</f>
        <v>0.50792864054939912</v>
      </c>
      <c r="K62" s="37"/>
      <c r="L62" s="26">
        <v>1</v>
      </c>
      <c r="M62" s="26"/>
      <c r="N62" s="26">
        <v>780865.674</v>
      </c>
      <c r="O62" s="96">
        <f t="shared" si="1"/>
        <v>780865.674</v>
      </c>
      <c r="P62" s="98">
        <f t="shared" si="2"/>
        <v>396624.0402465103</v>
      </c>
    </row>
    <row r="63" spans="3:16" x14ac:dyDescent="0.25">
      <c r="C63" s="26"/>
      <c r="D63" s="197">
        <v>2005</v>
      </c>
      <c r="E63" s="34">
        <v>38353</v>
      </c>
      <c r="F63" s="109" t="str">
        <f t="shared" si="0"/>
        <v>2004-05</v>
      </c>
      <c r="H63" s="120" t="s">
        <v>255</v>
      </c>
      <c r="I63" s="26">
        <v>160175</v>
      </c>
      <c r="J63" s="102">
        <f>IFERROR(MIN('MP Calculations'!$E$29/I63,1),"-")</f>
        <v>0.50792864054939912</v>
      </c>
      <c r="K63" s="37"/>
      <c r="L63" s="26">
        <v>1</v>
      </c>
      <c r="M63" s="26"/>
      <c r="N63" s="26">
        <v>3360987.9287700001</v>
      </c>
      <c r="O63" s="96">
        <f t="shared" si="1"/>
        <v>3360987.9287700001</v>
      </c>
      <c r="P63" s="98">
        <f t="shared" si="2"/>
        <v>1707142.0295630868</v>
      </c>
    </row>
    <row r="64" spans="3:16" x14ac:dyDescent="0.25">
      <c r="C64" s="26"/>
      <c r="D64" s="197">
        <v>2006</v>
      </c>
      <c r="E64" s="34">
        <v>38718</v>
      </c>
      <c r="F64" s="109" t="str">
        <f t="shared" si="0"/>
        <v>2005-06</v>
      </c>
      <c r="H64" s="120" t="s">
        <v>255</v>
      </c>
      <c r="I64" s="26">
        <v>160175</v>
      </c>
      <c r="J64" s="102">
        <f>IFERROR(MIN('MP Calculations'!$E$29/I64,1),"-")</f>
        <v>0.50792864054939912</v>
      </c>
      <c r="K64" s="37"/>
      <c r="L64" s="26">
        <v>1</v>
      </c>
      <c r="M64" s="26"/>
      <c r="N64" s="26">
        <v>3238399.7617200003</v>
      </c>
      <c r="O64" s="96">
        <f t="shared" si="1"/>
        <v>3238399.7617200003</v>
      </c>
      <c r="P64" s="98">
        <f t="shared" si="2"/>
        <v>1644875.9885259378</v>
      </c>
    </row>
    <row r="65" spans="3:16" x14ac:dyDescent="0.25">
      <c r="C65" s="26"/>
      <c r="D65" s="197">
        <v>2007</v>
      </c>
      <c r="E65" s="34">
        <v>39083</v>
      </c>
      <c r="F65" s="109" t="str">
        <f t="shared" si="0"/>
        <v>2006-07</v>
      </c>
      <c r="H65" s="120" t="s">
        <v>255</v>
      </c>
      <c r="I65" s="26">
        <v>160175</v>
      </c>
      <c r="J65" s="102">
        <f>IFERROR(MIN('MP Calculations'!$E$29/I65,1),"-")</f>
        <v>0.50792864054939912</v>
      </c>
      <c r="K65" s="37"/>
      <c r="L65" s="26">
        <v>1</v>
      </c>
      <c r="M65" s="26"/>
      <c r="N65" s="26">
        <v>1580565.22596</v>
      </c>
      <c r="O65" s="96">
        <f t="shared" si="1"/>
        <v>1580565.22596</v>
      </c>
      <c r="P65" s="98">
        <f t="shared" si="2"/>
        <v>802814.34652151656</v>
      </c>
    </row>
    <row r="66" spans="3:16" x14ac:dyDescent="0.25">
      <c r="C66" s="26"/>
      <c r="D66" s="197">
        <v>2008</v>
      </c>
      <c r="E66" s="34">
        <v>39448</v>
      </c>
      <c r="F66" s="109" t="str">
        <f t="shared" si="0"/>
        <v>2007-08</v>
      </c>
      <c r="H66" s="120" t="s">
        <v>255</v>
      </c>
      <c r="I66" s="26">
        <v>160175</v>
      </c>
      <c r="J66" s="102">
        <f>IFERROR(MIN('MP Calculations'!$E$29/I66,1),"-")</f>
        <v>0.50792864054939912</v>
      </c>
      <c r="K66" s="37"/>
      <c r="L66" s="26">
        <v>1</v>
      </c>
      <c r="M66" s="26"/>
      <c r="N66" s="26">
        <v>307164.46123999998</v>
      </c>
      <c r="O66" s="96">
        <f t="shared" si="1"/>
        <v>307164.46123999998</v>
      </c>
      <c r="P66" s="98">
        <f t="shared" si="2"/>
        <v>156017.62722272179</v>
      </c>
    </row>
    <row r="67" spans="3:16" x14ac:dyDescent="0.25">
      <c r="C67" s="26"/>
      <c r="D67" s="197">
        <v>2009</v>
      </c>
      <c r="E67" s="34">
        <v>39814</v>
      </c>
      <c r="F67" s="109" t="str">
        <f t="shared" si="0"/>
        <v>2008-09</v>
      </c>
      <c r="H67" s="120" t="s">
        <v>255</v>
      </c>
      <c r="I67" s="26">
        <v>160175</v>
      </c>
      <c r="J67" s="102">
        <f>IFERROR(MIN('MP Calculations'!$E$29/I67,1),"-")</f>
        <v>0.50792864054939912</v>
      </c>
      <c r="K67" s="37"/>
      <c r="L67" s="26">
        <v>1</v>
      </c>
      <c r="M67" s="26"/>
      <c r="N67" s="26">
        <v>159172.45757999999</v>
      </c>
      <c r="O67" s="96">
        <f t="shared" si="1"/>
        <v>159172.45757999999</v>
      </c>
      <c r="P67" s="98">
        <f t="shared" si="2"/>
        <v>80848.249991516292</v>
      </c>
    </row>
    <row r="68" spans="3:16" x14ac:dyDescent="0.25">
      <c r="C68" s="26"/>
      <c r="D68" s="197">
        <v>2010</v>
      </c>
      <c r="E68" s="34">
        <v>40179</v>
      </c>
      <c r="F68" s="109" t="str">
        <f t="shared" si="0"/>
        <v>2009-10</v>
      </c>
      <c r="H68" s="120" t="s">
        <v>255</v>
      </c>
      <c r="I68" s="26">
        <v>160175</v>
      </c>
      <c r="J68" s="102">
        <f>IFERROR(MIN('MP Calculations'!$E$29/I68,1),"-")</f>
        <v>0.50792864054939912</v>
      </c>
      <c r="K68" s="37"/>
      <c r="L68" s="26">
        <v>1</v>
      </c>
      <c r="M68" s="26"/>
      <c r="N68" s="26">
        <v>1026095.20972</v>
      </c>
      <c r="O68" s="96">
        <f t="shared" si="1"/>
        <v>1026095.20972</v>
      </c>
      <c r="P68" s="98">
        <f t="shared" si="2"/>
        <v>521183.14494733023</v>
      </c>
    </row>
    <row r="69" spans="3:16" x14ac:dyDescent="0.25">
      <c r="C69" s="26"/>
      <c r="D69" s="197">
        <v>2011</v>
      </c>
      <c r="E69" s="34">
        <v>40544</v>
      </c>
      <c r="F69" s="109" t="str">
        <f t="shared" si="0"/>
        <v>2010-11</v>
      </c>
      <c r="H69" s="120" t="s">
        <v>255</v>
      </c>
      <c r="I69" s="26">
        <v>160175</v>
      </c>
      <c r="J69" s="102">
        <f>IFERROR(MIN('MP Calculations'!$E$29/I69,1),"-")</f>
        <v>0.50792864054939912</v>
      </c>
      <c r="K69" s="37"/>
      <c r="L69" s="26">
        <v>1</v>
      </c>
      <c r="M69" s="26"/>
      <c r="N69" s="26">
        <v>135641.54500999997</v>
      </c>
      <c r="O69" s="96">
        <f t="shared" si="1"/>
        <v>135641.54500999997</v>
      </c>
      <c r="P69" s="98">
        <f t="shared" si="2"/>
        <v>68896.225558949416</v>
      </c>
    </row>
    <row r="70" spans="3:16" x14ac:dyDescent="0.25">
      <c r="C70" s="26"/>
      <c r="D70" s="197">
        <v>2013</v>
      </c>
      <c r="E70" s="34">
        <v>41275</v>
      </c>
      <c r="F70" s="109" t="str">
        <f t="shared" si="0"/>
        <v>2012-13</v>
      </c>
      <c r="H70" s="120" t="s">
        <v>255</v>
      </c>
      <c r="I70" s="26">
        <v>160175</v>
      </c>
      <c r="J70" s="102">
        <f>IFERROR(MIN('MP Calculations'!$E$29/I70,1),"-")</f>
        <v>0.50792864054939912</v>
      </c>
      <c r="K70" s="37"/>
      <c r="L70" s="26">
        <v>1</v>
      </c>
      <c r="M70" s="26"/>
      <c r="N70" s="26">
        <v>191440.20703000002</v>
      </c>
      <c r="O70" s="96">
        <f t="shared" si="1"/>
        <v>191440.20703000002</v>
      </c>
      <c r="P70" s="98">
        <f t="shared" si="2"/>
        <v>97237.96410324343</v>
      </c>
    </row>
    <row r="71" spans="3:16" x14ac:dyDescent="0.25">
      <c r="C71" s="26"/>
      <c r="D71" s="197">
        <v>2014</v>
      </c>
      <c r="E71" s="34">
        <v>41640</v>
      </c>
      <c r="F71" s="109" t="str">
        <f t="shared" si="0"/>
        <v>2013-14</v>
      </c>
      <c r="H71" s="120" t="s">
        <v>255</v>
      </c>
      <c r="I71" s="26">
        <v>160175</v>
      </c>
      <c r="J71" s="102">
        <f>IFERROR(MIN('MP Calculations'!$E$29/I71,1),"-")</f>
        <v>0.50792864054939912</v>
      </c>
      <c r="K71" s="37"/>
      <c r="L71" s="26">
        <v>1</v>
      </c>
      <c r="M71" s="26"/>
      <c r="N71" s="26">
        <v>171121.66545</v>
      </c>
      <c r="O71" s="96">
        <f t="shared" si="1"/>
        <v>171121.66545</v>
      </c>
      <c r="P71" s="98">
        <f t="shared" si="2"/>
        <v>86917.594900567579</v>
      </c>
    </row>
    <row r="72" spans="3:16" x14ac:dyDescent="0.25">
      <c r="C72" s="26"/>
      <c r="D72" s="197">
        <v>2015</v>
      </c>
      <c r="E72" s="34">
        <v>42005</v>
      </c>
      <c r="F72" s="109" t="str">
        <f t="shared" si="0"/>
        <v>2014-15</v>
      </c>
      <c r="H72" s="120" t="s">
        <v>255</v>
      </c>
      <c r="I72" s="26">
        <v>160175</v>
      </c>
      <c r="J72" s="102">
        <f>IFERROR(MIN('MP Calculations'!$E$29/I72,1),"-")</f>
        <v>0.50792864054939912</v>
      </c>
      <c r="K72" s="37"/>
      <c r="L72" s="26">
        <v>1</v>
      </c>
      <c r="M72" s="26"/>
      <c r="N72" s="26">
        <v>35375.02044</v>
      </c>
      <c r="O72" s="96">
        <f t="shared" si="1"/>
        <v>35375.02044</v>
      </c>
      <c r="P72" s="98">
        <f t="shared" si="2"/>
        <v>17967.986041496406</v>
      </c>
    </row>
    <row r="73" spans="3:16" x14ac:dyDescent="0.25">
      <c r="C73" s="26"/>
      <c r="D73" s="197">
        <v>2016</v>
      </c>
      <c r="E73" s="34">
        <v>42370</v>
      </c>
      <c r="F73" s="109" t="str">
        <f t="shared" si="0"/>
        <v>2015-16</v>
      </c>
      <c r="H73" s="120" t="s">
        <v>255</v>
      </c>
      <c r="I73" s="26">
        <v>160175</v>
      </c>
      <c r="J73" s="102">
        <f>IFERROR(MIN('MP Calculations'!$E$29/I73,1),"-")</f>
        <v>0.50792864054939912</v>
      </c>
      <c r="K73" s="37"/>
      <c r="L73" s="26">
        <v>1</v>
      </c>
      <c r="M73" s="26"/>
      <c r="N73" s="26">
        <v>44970.366669999967</v>
      </c>
      <c r="O73" s="96">
        <f t="shared" si="1"/>
        <v>44970.366669999967</v>
      </c>
      <c r="P73" s="98">
        <f t="shared" si="2"/>
        <v>22841.737207701091</v>
      </c>
    </row>
    <row r="74" spans="3:16" x14ac:dyDescent="0.25">
      <c r="C74" s="26"/>
      <c r="D74" s="197">
        <v>2018</v>
      </c>
      <c r="E74" s="34">
        <v>43101</v>
      </c>
      <c r="F74" s="109" t="str">
        <f t="shared" si="0"/>
        <v>2017-18</v>
      </c>
      <c r="H74" s="120" t="s">
        <v>255</v>
      </c>
      <c r="I74" s="26">
        <v>160175</v>
      </c>
      <c r="J74" s="102">
        <f>IFERROR(MIN('MP Calculations'!$E$29/I74,1),"-")</f>
        <v>0.50792864054939912</v>
      </c>
      <c r="K74" s="37"/>
      <c r="L74" s="26">
        <v>1</v>
      </c>
      <c r="M74" s="26"/>
      <c r="N74" s="26">
        <v>14272.979379999999</v>
      </c>
      <c r="O74" s="96">
        <f t="shared" si="1"/>
        <v>14272.979379999999</v>
      </c>
      <c r="P74" s="98">
        <f t="shared" si="2"/>
        <v>7249.6550130730047</v>
      </c>
    </row>
    <row r="75" spans="3:16" x14ac:dyDescent="0.25">
      <c r="C75" s="26"/>
      <c r="D75" s="197">
        <v>2019</v>
      </c>
      <c r="E75" s="34">
        <v>43466</v>
      </c>
      <c r="F75" s="109" t="str">
        <f t="shared" si="0"/>
        <v>2018-19</v>
      </c>
      <c r="H75" s="120" t="s">
        <v>255</v>
      </c>
      <c r="I75" s="26">
        <v>160175</v>
      </c>
      <c r="J75" s="102">
        <f>IFERROR(MIN('MP Calculations'!$E$29/I75,1),"-")</f>
        <v>0.50792864054939912</v>
      </c>
      <c r="K75" s="37"/>
      <c r="L75" s="26">
        <v>1</v>
      </c>
      <c r="M75" s="26"/>
      <c r="N75" s="26">
        <v>66017.566550000003</v>
      </c>
      <c r="O75" s="96">
        <f t="shared" si="1"/>
        <v>66017.566550000003</v>
      </c>
      <c r="P75" s="98">
        <f t="shared" si="2"/>
        <v>33532.212830120989</v>
      </c>
    </row>
    <row r="76" spans="3:16" x14ac:dyDescent="0.25">
      <c r="C76" s="26"/>
      <c r="D76" s="197" t="s">
        <v>260</v>
      </c>
      <c r="E76" s="34">
        <v>44269</v>
      </c>
      <c r="F76" s="109" t="str">
        <f t="shared" si="0"/>
        <v>2020-21</v>
      </c>
      <c r="H76" s="120" t="s">
        <v>255</v>
      </c>
      <c r="I76" s="26">
        <v>160175</v>
      </c>
      <c r="J76" s="102">
        <f>IFERROR(MIN('MP Calculations'!$E$29/I76,1),"-")</f>
        <v>0.50792864054939912</v>
      </c>
      <c r="K76" s="37"/>
      <c r="L76" s="26">
        <v>1</v>
      </c>
      <c r="M76" s="26"/>
      <c r="N76" s="26">
        <v>40662955.458840005</v>
      </c>
      <c r="O76" s="96">
        <f t="shared" ref="O76" si="6">IF(N76="","-",L76*N76)</f>
        <v>40662955.458840005</v>
      </c>
      <c r="P76" s="98">
        <f t="shared" ref="P76" si="7">IF(O76="-","-",IF(OR(E76&lt;$E$15,E76&gt;$E$16),0,O76*J76))</f>
        <v>20653879.686929371</v>
      </c>
    </row>
    <row r="77" spans="3:16" x14ac:dyDescent="0.25">
      <c r="C77" s="26"/>
      <c r="D77" s="116"/>
      <c r="E77" s="34"/>
      <c r="F77" s="109" t="str">
        <f t="shared" si="0"/>
        <v>-</v>
      </c>
      <c r="H77" s="120"/>
      <c r="I77" s="26"/>
      <c r="J77" s="102" t="str">
        <f>IFERROR(MIN('MP Calculations'!$E$29/I77,1),"-")</f>
        <v>-</v>
      </c>
      <c r="K77" s="37"/>
      <c r="L77" s="26"/>
      <c r="M77" s="26"/>
      <c r="N77" s="26"/>
      <c r="O77" s="96" t="str">
        <f t="shared" si="1"/>
        <v>-</v>
      </c>
      <c r="P77" s="98" t="str">
        <f t="shared" si="2"/>
        <v>-</v>
      </c>
    </row>
    <row r="78" spans="3:16" x14ac:dyDescent="0.25">
      <c r="C78" s="26"/>
      <c r="D78" s="196" t="s">
        <v>261</v>
      </c>
      <c r="E78" s="34"/>
      <c r="F78" s="109" t="str">
        <f t="shared" si="0"/>
        <v>-</v>
      </c>
      <c r="H78" s="120"/>
      <c r="I78" s="26"/>
      <c r="J78" s="102" t="str">
        <f>IFERROR(MIN('MP Calculations'!$E$29/I78,1),"-")</f>
        <v>-</v>
      </c>
      <c r="K78" s="37"/>
      <c r="L78" s="26"/>
      <c r="M78" s="26"/>
      <c r="N78" s="26"/>
      <c r="O78" s="96" t="str">
        <f t="shared" si="1"/>
        <v>-</v>
      </c>
      <c r="P78" s="98" t="str">
        <f t="shared" si="2"/>
        <v>-</v>
      </c>
    </row>
    <row r="79" spans="3:16" x14ac:dyDescent="0.25">
      <c r="C79" s="26"/>
      <c r="D79" s="197">
        <v>1997</v>
      </c>
      <c r="E79" s="34">
        <v>35431</v>
      </c>
      <c r="F79" s="109" t="str">
        <f t="shared" si="0"/>
        <v>1996-97</v>
      </c>
      <c r="H79" s="120" t="s">
        <v>255</v>
      </c>
      <c r="I79" s="26">
        <v>160175</v>
      </c>
      <c r="J79" s="102">
        <f>IFERROR(MIN('MP Calculations'!$E$29/I79,1),"-")</f>
        <v>0.50792864054939912</v>
      </c>
      <c r="K79" s="37"/>
      <c r="L79" s="26">
        <v>1</v>
      </c>
      <c r="M79" s="26"/>
      <c r="N79" s="26">
        <v>369309.28197000001</v>
      </c>
      <c r="O79" s="96">
        <f t="shared" si="1"/>
        <v>369309.28197000001</v>
      </c>
      <c r="P79" s="98">
        <f t="shared" si="2"/>
        <v>187582.76153329681</v>
      </c>
    </row>
    <row r="80" spans="3:16" x14ac:dyDescent="0.25">
      <c r="C80" s="26"/>
      <c r="D80" s="197">
        <v>2001</v>
      </c>
      <c r="E80" s="34">
        <v>36892</v>
      </c>
      <c r="F80" s="109" t="str">
        <f t="shared" si="0"/>
        <v>2000-01</v>
      </c>
      <c r="H80" s="120" t="s">
        <v>255</v>
      </c>
      <c r="I80" s="26">
        <v>160175</v>
      </c>
      <c r="J80" s="102">
        <f>IFERROR(MIN('MP Calculations'!$E$29/I80,1),"-")</f>
        <v>0.50792864054939912</v>
      </c>
      <c r="K80" s="37"/>
      <c r="L80" s="26">
        <v>1</v>
      </c>
      <c r="M80" s="26"/>
      <c r="N80" s="26">
        <v>142537.45029000004</v>
      </c>
      <c r="O80" s="96">
        <f t="shared" si="1"/>
        <v>142537.45029000004</v>
      </c>
      <c r="P80" s="98">
        <f t="shared" si="2"/>
        <v>72398.85335317727</v>
      </c>
    </row>
    <row r="81" spans="3:16" x14ac:dyDescent="0.25">
      <c r="C81" s="26"/>
      <c r="D81" s="197">
        <v>2014</v>
      </c>
      <c r="E81" s="34">
        <v>41640</v>
      </c>
      <c r="F81" s="109" t="str">
        <f t="shared" si="0"/>
        <v>2013-14</v>
      </c>
      <c r="H81" s="120" t="s">
        <v>255</v>
      </c>
      <c r="I81" s="26">
        <v>160175</v>
      </c>
      <c r="J81" s="102">
        <f>IFERROR(MIN('MP Calculations'!$E$29/I81,1),"-")</f>
        <v>0.50792864054939912</v>
      </c>
      <c r="K81" s="37"/>
      <c r="L81" s="26">
        <v>1</v>
      </c>
      <c r="M81" s="26"/>
      <c r="N81" s="26">
        <v>136155.79931</v>
      </c>
      <c r="O81" s="96">
        <f t="shared" si="1"/>
        <v>136155.79931</v>
      </c>
      <c r="P81" s="98">
        <f t="shared" si="2"/>
        <v>69157.430046445123</v>
      </c>
    </row>
    <row r="82" spans="3:16" x14ac:dyDescent="0.25">
      <c r="C82" s="26"/>
      <c r="D82" s="197">
        <v>2015</v>
      </c>
      <c r="E82" s="34">
        <v>42005</v>
      </c>
      <c r="F82" s="109" t="str">
        <f t="shared" si="0"/>
        <v>2014-15</v>
      </c>
      <c r="H82" s="120" t="s">
        <v>255</v>
      </c>
      <c r="I82" s="26">
        <v>160175</v>
      </c>
      <c r="J82" s="102">
        <f>IFERROR(MIN('MP Calculations'!$E$29/I82,1),"-")</f>
        <v>0.50792864054939912</v>
      </c>
      <c r="K82" s="37"/>
      <c r="L82" s="26">
        <v>1</v>
      </c>
      <c r="M82" s="26"/>
      <c r="N82" s="26">
        <v>29448.252769999999</v>
      </c>
      <c r="O82" s="96">
        <f t="shared" si="1"/>
        <v>29448.252769999999</v>
      </c>
      <c r="P82" s="98">
        <f t="shared" si="2"/>
        <v>14957.610996021176</v>
      </c>
    </row>
    <row r="83" spans="3:16" x14ac:dyDescent="0.25">
      <c r="C83" s="26"/>
      <c r="D83" s="197">
        <v>2016</v>
      </c>
      <c r="E83" s="34">
        <v>42370</v>
      </c>
      <c r="F83" s="109" t="str">
        <f t="shared" si="0"/>
        <v>2015-16</v>
      </c>
      <c r="H83" s="120" t="s">
        <v>255</v>
      </c>
      <c r="I83" s="26">
        <v>160175</v>
      </c>
      <c r="J83" s="102">
        <f>IFERROR(MIN('MP Calculations'!$E$29/I83,1),"-")</f>
        <v>0.50792864054939912</v>
      </c>
      <c r="K83" s="37"/>
      <c r="L83" s="26">
        <v>1</v>
      </c>
      <c r="M83" s="26"/>
      <c r="N83" s="26">
        <v>30056.277289999998</v>
      </c>
      <c r="O83" s="96">
        <f t="shared" si="1"/>
        <v>30056.277289999998</v>
      </c>
      <c r="P83" s="98">
        <f t="shared" si="2"/>
        <v>15266.444063885478</v>
      </c>
    </row>
    <row r="84" spans="3:16" x14ac:dyDescent="0.25">
      <c r="C84" s="26"/>
      <c r="D84" s="116"/>
      <c r="E84" s="34"/>
      <c r="F84" s="109" t="str">
        <f t="shared" si="0"/>
        <v>-</v>
      </c>
      <c r="H84" s="120"/>
      <c r="I84" s="26"/>
      <c r="J84" s="102" t="str">
        <f>IFERROR(MIN('MP Calculations'!$E$29/I84,1),"-")</f>
        <v>-</v>
      </c>
      <c r="K84" s="37"/>
      <c r="L84" s="26"/>
      <c r="M84" s="26"/>
      <c r="N84" s="26"/>
      <c r="O84" s="96" t="str">
        <f t="shared" si="1"/>
        <v>-</v>
      </c>
      <c r="P84" s="98" t="str">
        <f t="shared" si="2"/>
        <v>-</v>
      </c>
    </row>
    <row r="85" spans="3:16" x14ac:dyDescent="0.25">
      <c r="C85" s="26"/>
      <c r="D85" s="196" t="s">
        <v>204</v>
      </c>
      <c r="E85" s="29"/>
      <c r="F85" s="109" t="str">
        <f t="shared" si="0"/>
        <v>-</v>
      </c>
      <c r="H85" s="120"/>
      <c r="I85" s="26"/>
      <c r="J85" s="102" t="str">
        <f>IFERROR(MIN('MP Calculations'!$E$29/I85,1),"-")</f>
        <v>-</v>
      </c>
      <c r="K85" s="37"/>
      <c r="L85" s="26"/>
      <c r="M85" s="26"/>
      <c r="N85" s="26"/>
      <c r="O85" s="96" t="str">
        <f t="shared" si="1"/>
        <v>-</v>
      </c>
      <c r="P85" s="98" t="str">
        <f t="shared" si="2"/>
        <v>-</v>
      </c>
    </row>
    <row r="86" spans="3:16" x14ac:dyDescent="0.25">
      <c r="C86" s="117" t="s">
        <v>262</v>
      </c>
      <c r="D86" s="116" t="s">
        <v>263</v>
      </c>
      <c r="E86" s="34">
        <v>44531</v>
      </c>
      <c r="F86" s="109" t="str">
        <f t="shared" si="0"/>
        <v>2021-22</v>
      </c>
      <c r="H86" s="120" t="s">
        <v>255</v>
      </c>
      <c r="I86" s="26">
        <v>160175</v>
      </c>
      <c r="J86" s="102">
        <f>IFERROR(MIN('MP Calculations'!$E$29/I86,1),"-")</f>
        <v>0.50792864054939912</v>
      </c>
      <c r="K86" s="37"/>
      <c r="L86" s="26">
        <v>1</v>
      </c>
      <c r="M86" s="26"/>
      <c r="N86" s="26">
        <v>2120441.94955</v>
      </c>
      <c r="O86" s="96">
        <f t="shared" si="1"/>
        <v>2120441.94955</v>
      </c>
      <c r="P86" s="98">
        <f t="shared" si="2"/>
        <v>1077033.1967988492</v>
      </c>
    </row>
    <row r="87" spans="3:16" ht="23" x14ac:dyDescent="0.25">
      <c r="C87" s="26" t="s">
        <v>264</v>
      </c>
      <c r="D87" s="116" t="s">
        <v>265</v>
      </c>
      <c r="E87" s="34">
        <v>44531</v>
      </c>
      <c r="F87" s="109" t="str">
        <f t="shared" si="0"/>
        <v>2021-22</v>
      </c>
      <c r="H87" s="120" t="s">
        <v>255</v>
      </c>
      <c r="I87" s="26">
        <v>160175</v>
      </c>
      <c r="J87" s="102">
        <f>IFERROR(MIN('MP Calculations'!$E$29/I87,1),"-")</f>
        <v>0.50792864054939912</v>
      </c>
      <c r="K87" s="37"/>
      <c r="L87" s="26">
        <v>1</v>
      </c>
      <c r="M87" s="26"/>
      <c r="N87" s="26">
        <v>2084785.6499799998</v>
      </c>
      <c r="O87" s="96">
        <f t="shared" si="1"/>
        <v>2084785.6499799998</v>
      </c>
      <c r="P87" s="98">
        <f t="shared" si="2"/>
        <v>1058922.3410312368</v>
      </c>
    </row>
    <row r="88" spans="3:16" x14ac:dyDescent="0.25">
      <c r="C88" s="26" t="s">
        <v>266</v>
      </c>
      <c r="D88" s="116" t="s">
        <v>267</v>
      </c>
      <c r="E88" s="34">
        <v>35431</v>
      </c>
      <c r="F88" s="109" t="str">
        <f t="shared" si="0"/>
        <v>1996-97</v>
      </c>
      <c r="H88" s="120" t="s">
        <v>255</v>
      </c>
      <c r="I88" s="26">
        <v>160175</v>
      </c>
      <c r="J88" s="102">
        <f>IFERROR(MIN('MP Calculations'!$E$29/I88,1),"-")</f>
        <v>0.50792864054939912</v>
      </c>
      <c r="K88" s="37"/>
      <c r="L88" s="26">
        <v>1</v>
      </c>
      <c r="M88" s="26"/>
      <c r="N88" s="26">
        <v>313184.79944000003</v>
      </c>
      <c r="O88" s="96">
        <f t="shared" si="1"/>
        <v>313184.79944000003</v>
      </c>
      <c r="P88" s="98">
        <f t="shared" si="2"/>
        <v>159075.52942029544</v>
      </c>
    </row>
    <row r="89" spans="3:16" x14ac:dyDescent="0.25">
      <c r="C89" s="26"/>
      <c r="D89" s="116"/>
      <c r="E89" s="34"/>
      <c r="F89" s="109" t="str">
        <f t="shared" si="0"/>
        <v>-</v>
      </c>
      <c r="H89" s="120"/>
      <c r="I89" s="26"/>
      <c r="J89" s="102" t="str">
        <f>IFERROR(MIN('MP Calculations'!$E$29/I89,1),"-")</f>
        <v>-</v>
      </c>
      <c r="K89" s="37"/>
      <c r="L89" s="26"/>
      <c r="M89" s="26"/>
      <c r="N89" s="26"/>
      <c r="O89" s="96" t="str">
        <f t="shared" si="1"/>
        <v>-</v>
      </c>
      <c r="P89" s="98" t="str">
        <f t="shared" si="2"/>
        <v>-</v>
      </c>
    </row>
    <row r="90" spans="3:16" x14ac:dyDescent="0.25">
      <c r="C90" s="26"/>
      <c r="D90" s="196" t="s">
        <v>215</v>
      </c>
      <c r="E90" s="34"/>
      <c r="F90" s="109" t="str">
        <f t="shared" si="0"/>
        <v>-</v>
      </c>
      <c r="H90" s="120"/>
      <c r="I90" s="26"/>
      <c r="J90" s="102" t="str">
        <f>IFERROR(MIN('MP Calculations'!$E$29/I90,1),"-")</f>
        <v>-</v>
      </c>
      <c r="K90" s="37"/>
      <c r="L90" s="26"/>
      <c r="M90" s="26"/>
      <c r="N90" s="26"/>
      <c r="O90" s="96" t="str">
        <f t="shared" si="1"/>
        <v>-</v>
      </c>
      <c r="P90" s="98" t="str">
        <f t="shared" si="2"/>
        <v>-</v>
      </c>
    </row>
    <row r="91" spans="3:16" x14ac:dyDescent="0.25">
      <c r="C91" s="26"/>
      <c r="D91" s="116" t="s">
        <v>268</v>
      </c>
      <c r="E91" s="34">
        <v>36342</v>
      </c>
      <c r="F91" s="109" t="str">
        <f t="shared" ref="F91" si="8">IF(E91="","-",IF(OR(E91&lt;$E$15,E91&gt;$E$16),"ERROR - date outside of range",IF(MONTH(E91)&gt;=7,YEAR(E91)&amp;"-"&amp;IF(YEAR(E91)=1999,"00",IF(AND(YEAR(E91)&gt;=2000,YEAR(E91)&lt;2009),"0","")&amp;RIGHT(YEAR(E91),2)+1),RIGHT(YEAR(E91),4)-1&amp;"-"&amp;RIGHT(YEAR(E91),2))))</f>
        <v>1999-00</v>
      </c>
      <c r="H91" s="120" t="s">
        <v>255</v>
      </c>
      <c r="I91" s="26">
        <v>160175</v>
      </c>
      <c r="J91" s="102">
        <f>IFERROR(MIN('MP Calculations'!$E$29/I91,1),"-")</f>
        <v>0.50792864054939912</v>
      </c>
      <c r="K91" s="37"/>
      <c r="L91" s="26">
        <v>1</v>
      </c>
      <c r="M91" s="26"/>
      <c r="N91" s="26">
        <v>1949239.6303600001</v>
      </c>
      <c r="O91" s="96">
        <f t="shared" ref="O91:O154" si="9">IF(N91="","-",L91*N91)</f>
        <v>1949239.6303600001</v>
      </c>
      <c r="P91" s="98">
        <f t="shared" ref="P91:P222" si="10">IF(O91="-","-",IF(OR(E91&lt;$E$15,E91&gt;$E$16),0,O91*J91))</f>
        <v>990074.63555376814</v>
      </c>
    </row>
    <row r="92" spans="3:16" x14ac:dyDescent="0.25">
      <c r="C92" s="26"/>
      <c r="D92" s="116" t="s">
        <v>269</v>
      </c>
      <c r="E92" s="34">
        <v>36342</v>
      </c>
      <c r="F92" s="109" t="str">
        <f t="shared" ref="F92:F222" si="11">IF(E92="","-",IF(OR(E92&lt;$E$15,E92&gt;$E$16),"ERROR - date outside of range",IF(MONTH(E92)&gt;=7,YEAR(E92)&amp;"-"&amp;IF(YEAR(E92)=1999,"00",IF(AND(YEAR(E92)&gt;=2000,YEAR(E92)&lt;2009),"0","")&amp;RIGHT(YEAR(E92),2)+1),RIGHT(YEAR(E92),4)-1&amp;"-"&amp;RIGHT(YEAR(E92),2))))</f>
        <v>1999-00</v>
      </c>
      <c r="H92" s="120" t="s">
        <v>255</v>
      </c>
      <c r="I92" s="26">
        <v>160175</v>
      </c>
      <c r="J92" s="102">
        <f>IFERROR(MIN('MP Calculations'!$E$29/I92,1),"-")</f>
        <v>0.50792864054939912</v>
      </c>
      <c r="K92" s="37"/>
      <c r="L92" s="26">
        <v>1</v>
      </c>
      <c r="M92" s="26"/>
      <c r="N92" s="26">
        <v>1647768.4991799998</v>
      </c>
      <c r="O92" s="96">
        <f t="shared" si="9"/>
        <v>1647768.4991799998</v>
      </c>
      <c r="P92" s="98">
        <f t="shared" si="10"/>
        <v>836948.813728621</v>
      </c>
    </row>
    <row r="93" spans="3:16" x14ac:dyDescent="0.25">
      <c r="C93" s="26"/>
      <c r="D93" s="116" t="s">
        <v>270</v>
      </c>
      <c r="E93" s="34">
        <v>38169</v>
      </c>
      <c r="F93" s="109" t="str">
        <f t="shared" si="11"/>
        <v>2004-05</v>
      </c>
      <c r="H93" s="120" t="s">
        <v>255</v>
      </c>
      <c r="I93" s="26">
        <v>160175</v>
      </c>
      <c r="J93" s="102">
        <f>IFERROR(MIN('MP Calculations'!$E$29/I93,1),"-")</f>
        <v>0.50792864054939912</v>
      </c>
      <c r="K93" s="37"/>
      <c r="L93" s="26">
        <v>1</v>
      </c>
      <c r="M93" s="26"/>
      <c r="N93" s="26">
        <v>2185599.5038199998</v>
      </c>
      <c r="O93" s="96">
        <f t="shared" si="9"/>
        <v>2185599.5038199998</v>
      </c>
      <c r="P93" s="98">
        <f t="shared" si="10"/>
        <v>1110128.5847607336</v>
      </c>
    </row>
    <row r="94" spans="3:16" x14ac:dyDescent="0.25">
      <c r="C94" s="26"/>
      <c r="D94" s="116" t="s">
        <v>271</v>
      </c>
      <c r="E94" s="34">
        <v>38169</v>
      </c>
      <c r="F94" s="109" t="str">
        <f t="shared" si="11"/>
        <v>2004-05</v>
      </c>
      <c r="H94" s="120" t="s">
        <v>255</v>
      </c>
      <c r="I94" s="26">
        <v>160175</v>
      </c>
      <c r="J94" s="102">
        <f>IFERROR(MIN('MP Calculations'!$E$29/I94,1),"-")</f>
        <v>0.50792864054939912</v>
      </c>
      <c r="K94" s="37"/>
      <c r="L94" s="26">
        <v>1</v>
      </c>
      <c r="M94" s="26"/>
      <c r="N94" s="26">
        <v>1837932.84476</v>
      </c>
      <c r="O94" s="96">
        <f t="shared" si="9"/>
        <v>1837932.84476</v>
      </c>
      <c r="P94" s="98">
        <f t="shared" si="10"/>
        <v>933538.73126003658</v>
      </c>
    </row>
    <row r="95" spans="3:16" x14ac:dyDescent="0.25">
      <c r="C95" s="26"/>
      <c r="D95" s="116"/>
      <c r="E95" s="34"/>
      <c r="F95" s="109" t="str">
        <f t="shared" si="11"/>
        <v>-</v>
      </c>
      <c r="H95" s="120"/>
      <c r="I95" s="26"/>
      <c r="J95" s="102" t="str">
        <f>IFERROR(MIN('MP Calculations'!$E$29/I95,1),"-")</f>
        <v>-</v>
      </c>
      <c r="K95" s="37"/>
      <c r="L95" s="26"/>
      <c r="M95" s="26"/>
      <c r="N95" s="26"/>
      <c r="O95" s="96" t="str">
        <f t="shared" si="9"/>
        <v>-</v>
      </c>
      <c r="P95" s="98" t="str">
        <f t="shared" si="10"/>
        <v>-</v>
      </c>
    </row>
    <row r="96" spans="3:16" x14ac:dyDescent="0.25">
      <c r="C96" s="26"/>
      <c r="D96" s="196"/>
      <c r="E96" s="34"/>
      <c r="F96" s="109" t="str">
        <f t="shared" si="11"/>
        <v>-</v>
      </c>
      <c r="H96" s="120"/>
      <c r="I96" s="26"/>
      <c r="J96" s="102" t="str">
        <f>IFERROR(MIN('MP Calculations'!$E$29/I96,1),"-")</f>
        <v>-</v>
      </c>
      <c r="K96" s="37"/>
      <c r="L96" s="26"/>
      <c r="M96" s="26"/>
      <c r="N96" s="26"/>
      <c r="O96" s="96" t="str">
        <f t="shared" si="9"/>
        <v>-</v>
      </c>
      <c r="P96" s="98" t="str">
        <f t="shared" si="10"/>
        <v>-</v>
      </c>
    </row>
    <row r="97" spans="3:16" x14ac:dyDescent="0.25">
      <c r="C97" s="26"/>
      <c r="D97" s="116"/>
      <c r="E97" s="34"/>
      <c r="F97" s="109" t="str">
        <f t="shared" si="11"/>
        <v>-</v>
      </c>
      <c r="H97" s="120"/>
      <c r="I97" s="26"/>
      <c r="J97" s="102" t="str">
        <f>IFERROR(MIN('MP Calculations'!$E$29/I97,1),"-")</f>
        <v>-</v>
      </c>
      <c r="K97" s="37"/>
      <c r="L97" s="26"/>
      <c r="M97" s="26"/>
      <c r="N97" s="26"/>
      <c r="O97" s="96" t="str">
        <f t="shared" si="9"/>
        <v>-</v>
      </c>
      <c r="P97" s="98" t="str">
        <f t="shared" si="10"/>
        <v>-</v>
      </c>
    </row>
    <row r="98" spans="3:16" x14ac:dyDescent="0.25">
      <c r="C98" s="26"/>
      <c r="D98" s="116"/>
      <c r="E98" s="34"/>
      <c r="F98" s="109" t="str">
        <f t="shared" si="11"/>
        <v>-</v>
      </c>
      <c r="H98" s="120"/>
      <c r="I98" s="26"/>
      <c r="J98" s="102" t="str">
        <f>IFERROR(MIN('MP Calculations'!$E$29/I98,1),"-")</f>
        <v>-</v>
      </c>
      <c r="K98" s="37"/>
      <c r="L98" s="26"/>
      <c r="M98" s="26"/>
      <c r="N98" s="26"/>
      <c r="O98" s="96" t="str">
        <f t="shared" si="9"/>
        <v>-</v>
      </c>
      <c r="P98" s="98" t="str">
        <f t="shared" si="10"/>
        <v>-</v>
      </c>
    </row>
    <row r="99" spans="3:16" x14ac:dyDescent="0.25">
      <c r="C99" s="26"/>
      <c r="D99" s="116"/>
      <c r="E99" s="34"/>
      <c r="F99" s="109" t="str">
        <f t="shared" si="11"/>
        <v>-</v>
      </c>
      <c r="H99" s="120"/>
      <c r="I99" s="26"/>
      <c r="J99" s="102" t="str">
        <f>IFERROR(MIN('MP Calculations'!$E$29/I99,1),"-")</f>
        <v>-</v>
      </c>
      <c r="K99" s="37"/>
      <c r="L99" s="26"/>
      <c r="M99" s="26"/>
      <c r="N99" s="26"/>
      <c r="O99" s="96" t="str">
        <f t="shared" si="9"/>
        <v>-</v>
      </c>
      <c r="P99" s="98" t="str">
        <f t="shared" si="10"/>
        <v>-</v>
      </c>
    </row>
    <row r="100" spans="3:16" x14ac:dyDescent="0.25">
      <c r="C100" s="26"/>
      <c r="D100" s="116"/>
      <c r="E100" s="34"/>
      <c r="F100" s="109" t="str">
        <f t="shared" si="11"/>
        <v>-</v>
      </c>
      <c r="H100" s="120"/>
      <c r="I100" s="26"/>
      <c r="J100" s="102" t="str">
        <f>IFERROR(MIN('MP Calculations'!$E$29/I100,1),"-")</f>
        <v>-</v>
      </c>
      <c r="K100" s="37"/>
      <c r="L100" s="26"/>
      <c r="M100" s="26"/>
      <c r="N100" s="26"/>
      <c r="O100" s="96" t="str">
        <f t="shared" si="9"/>
        <v>-</v>
      </c>
      <c r="P100" s="98" t="str">
        <f t="shared" si="10"/>
        <v>-</v>
      </c>
    </row>
    <row r="101" spans="3:16" x14ac:dyDescent="0.25">
      <c r="C101" s="26"/>
      <c r="D101" s="116"/>
      <c r="E101" s="34"/>
      <c r="F101" s="109" t="str">
        <f t="shared" si="11"/>
        <v>-</v>
      </c>
      <c r="H101" s="120"/>
      <c r="I101" s="26"/>
      <c r="J101" s="102" t="str">
        <f>IFERROR(MIN('MP Calculations'!$E$29/I101,1),"-")</f>
        <v>-</v>
      </c>
      <c r="K101" s="37"/>
      <c r="L101" s="26"/>
      <c r="M101" s="26"/>
      <c r="N101" s="26"/>
      <c r="O101" s="96" t="str">
        <f t="shared" si="9"/>
        <v>-</v>
      </c>
      <c r="P101" s="98" t="str">
        <f t="shared" si="10"/>
        <v>-</v>
      </c>
    </row>
    <row r="102" spans="3:16" x14ac:dyDescent="0.25">
      <c r="C102" s="26"/>
      <c r="D102" s="116"/>
      <c r="E102" s="34"/>
      <c r="F102" s="109" t="str">
        <f t="shared" si="11"/>
        <v>-</v>
      </c>
      <c r="H102" s="120"/>
      <c r="I102" s="26"/>
      <c r="J102" s="102" t="str">
        <f>IFERROR(MIN('MP Calculations'!$E$29/I102,1),"-")</f>
        <v>-</v>
      </c>
      <c r="K102" s="37"/>
      <c r="L102" s="26"/>
      <c r="M102" s="26"/>
      <c r="N102" s="26"/>
      <c r="O102" s="96" t="str">
        <f t="shared" si="9"/>
        <v>-</v>
      </c>
      <c r="P102" s="98" t="str">
        <f t="shared" si="10"/>
        <v>-</v>
      </c>
    </row>
    <row r="103" spans="3:16" x14ac:dyDescent="0.25">
      <c r="C103" s="26"/>
      <c r="D103" s="116"/>
      <c r="E103" s="34"/>
      <c r="F103" s="109" t="str">
        <f t="shared" si="11"/>
        <v>-</v>
      </c>
      <c r="H103" s="120"/>
      <c r="I103" s="26"/>
      <c r="J103" s="102" t="str">
        <f>IFERROR(MIN('MP Calculations'!$E$29/I103,1),"-")</f>
        <v>-</v>
      </c>
      <c r="K103" s="37"/>
      <c r="L103" s="26"/>
      <c r="M103" s="26"/>
      <c r="N103" s="26"/>
      <c r="O103" s="96" t="str">
        <f t="shared" si="9"/>
        <v>-</v>
      </c>
      <c r="P103" s="98" t="str">
        <f t="shared" si="10"/>
        <v>-</v>
      </c>
    </row>
    <row r="104" spans="3:16" x14ac:dyDescent="0.25">
      <c r="C104" s="26"/>
      <c r="D104" s="116"/>
      <c r="E104" s="34"/>
      <c r="F104" s="109" t="str">
        <f t="shared" si="11"/>
        <v>-</v>
      </c>
      <c r="H104" s="120"/>
      <c r="I104" s="26"/>
      <c r="J104" s="102" t="str">
        <f>IFERROR(MIN('MP Calculations'!$E$29/I104,1),"-")</f>
        <v>-</v>
      </c>
      <c r="K104" s="37"/>
      <c r="L104" s="26"/>
      <c r="M104" s="26"/>
      <c r="N104" s="26"/>
      <c r="O104" s="96" t="str">
        <f t="shared" si="9"/>
        <v>-</v>
      </c>
      <c r="P104" s="98" t="str">
        <f t="shared" si="10"/>
        <v>-</v>
      </c>
    </row>
    <row r="105" spans="3:16" x14ac:dyDescent="0.25">
      <c r="C105" s="26"/>
      <c r="D105" s="116"/>
      <c r="E105" s="34"/>
      <c r="F105" s="109" t="str">
        <f t="shared" si="11"/>
        <v>-</v>
      </c>
      <c r="H105" s="120"/>
      <c r="I105" s="26"/>
      <c r="J105" s="102" t="str">
        <f>IFERROR(MIN('MP Calculations'!$E$29/I105,1),"-")</f>
        <v>-</v>
      </c>
      <c r="K105" s="37"/>
      <c r="L105" s="26"/>
      <c r="M105" s="26"/>
      <c r="N105" s="26"/>
      <c r="O105" s="96" t="str">
        <f t="shared" si="9"/>
        <v>-</v>
      </c>
      <c r="P105" s="98" t="str">
        <f t="shared" si="10"/>
        <v>-</v>
      </c>
    </row>
    <row r="106" spans="3:16" x14ac:dyDescent="0.25">
      <c r="C106" s="26"/>
      <c r="D106" s="116"/>
      <c r="E106" s="34"/>
      <c r="F106" s="109" t="str">
        <f t="shared" si="11"/>
        <v>-</v>
      </c>
      <c r="H106" s="120"/>
      <c r="I106" s="26"/>
      <c r="J106" s="102" t="str">
        <f>IFERROR(MIN('MP Calculations'!$E$29/I106,1),"-")</f>
        <v>-</v>
      </c>
      <c r="K106" s="37"/>
      <c r="L106" s="26"/>
      <c r="M106" s="26"/>
      <c r="N106" s="26"/>
      <c r="O106" s="96" t="str">
        <f t="shared" si="9"/>
        <v>-</v>
      </c>
      <c r="P106" s="98" t="str">
        <f t="shared" si="10"/>
        <v>-</v>
      </c>
    </row>
    <row r="107" spans="3:16" x14ac:dyDescent="0.25">
      <c r="C107" s="26"/>
      <c r="D107" s="116"/>
      <c r="E107" s="34"/>
      <c r="F107" s="109" t="str">
        <f t="shared" si="11"/>
        <v>-</v>
      </c>
      <c r="H107" s="120"/>
      <c r="I107" s="26"/>
      <c r="J107" s="102" t="str">
        <f>IFERROR(MIN('MP Calculations'!$E$29/I107,1),"-")</f>
        <v>-</v>
      </c>
      <c r="K107" s="37"/>
      <c r="L107" s="26"/>
      <c r="M107" s="26"/>
      <c r="N107" s="26"/>
      <c r="O107" s="96" t="str">
        <f t="shared" si="9"/>
        <v>-</v>
      </c>
      <c r="P107" s="98" t="str">
        <f t="shared" si="10"/>
        <v>-</v>
      </c>
    </row>
    <row r="108" spans="3:16" x14ac:dyDescent="0.25">
      <c r="C108" s="26"/>
      <c r="D108" s="116"/>
      <c r="E108" s="34"/>
      <c r="F108" s="109" t="str">
        <f t="shared" si="11"/>
        <v>-</v>
      </c>
      <c r="H108" s="120"/>
      <c r="I108" s="26"/>
      <c r="J108" s="102" t="str">
        <f>IFERROR(MIN('MP Calculations'!$E$29/I108,1),"-")</f>
        <v>-</v>
      </c>
      <c r="K108" s="37"/>
      <c r="L108" s="26"/>
      <c r="M108" s="26"/>
      <c r="N108" s="26"/>
      <c r="O108" s="96" t="str">
        <f t="shared" si="9"/>
        <v>-</v>
      </c>
      <c r="P108" s="98" t="str">
        <f t="shared" si="10"/>
        <v>-</v>
      </c>
    </row>
    <row r="109" spans="3:16" x14ac:dyDescent="0.25">
      <c r="C109" s="26"/>
      <c r="D109" s="116"/>
      <c r="E109" s="34"/>
      <c r="F109" s="109" t="str">
        <f t="shared" si="11"/>
        <v>-</v>
      </c>
      <c r="H109" s="120"/>
      <c r="I109" s="26"/>
      <c r="J109" s="102" t="str">
        <f>IFERROR(MIN('MP Calculations'!$E$29/I109,1),"-")</f>
        <v>-</v>
      </c>
      <c r="K109" s="37"/>
      <c r="L109" s="26"/>
      <c r="M109" s="26"/>
      <c r="N109" s="26"/>
      <c r="O109" s="96" t="str">
        <f t="shared" si="9"/>
        <v>-</v>
      </c>
      <c r="P109" s="98" t="str">
        <f t="shared" si="10"/>
        <v>-</v>
      </c>
    </row>
    <row r="110" spans="3:16" x14ac:dyDescent="0.25">
      <c r="C110" s="26"/>
      <c r="D110" s="116"/>
      <c r="E110" s="34"/>
      <c r="F110" s="109" t="str">
        <f t="shared" si="11"/>
        <v>-</v>
      </c>
      <c r="H110" s="120"/>
      <c r="I110" s="26"/>
      <c r="J110" s="102" t="str">
        <f>IFERROR(MIN('MP Calculations'!$E$29/I110,1),"-")</f>
        <v>-</v>
      </c>
      <c r="K110" s="37"/>
      <c r="L110" s="26"/>
      <c r="M110" s="26"/>
      <c r="N110" s="26"/>
      <c r="O110" s="96" t="str">
        <f t="shared" si="9"/>
        <v>-</v>
      </c>
      <c r="P110" s="98" t="str">
        <f t="shared" si="10"/>
        <v>-</v>
      </c>
    </row>
    <row r="111" spans="3:16" x14ac:dyDescent="0.25">
      <c r="C111" s="26"/>
      <c r="D111" s="116"/>
      <c r="E111" s="34"/>
      <c r="F111" s="109" t="str">
        <f t="shared" si="11"/>
        <v>-</v>
      </c>
      <c r="H111" s="120"/>
      <c r="I111" s="26"/>
      <c r="J111" s="102" t="str">
        <f>IFERROR(MIN('MP Calculations'!$E$29/I111,1),"-")</f>
        <v>-</v>
      </c>
      <c r="K111" s="37"/>
      <c r="L111" s="26"/>
      <c r="M111" s="26"/>
      <c r="N111" s="26"/>
      <c r="O111" s="96" t="str">
        <f t="shared" si="9"/>
        <v>-</v>
      </c>
      <c r="P111" s="98" t="str">
        <f t="shared" si="10"/>
        <v>-</v>
      </c>
    </row>
    <row r="112" spans="3:16" x14ac:dyDescent="0.25">
      <c r="C112" s="26"/>
      <c r="D112" s="116"/>
      <c r="E112" s="34"/>
      <c r="F112" s="109" t="str">
        <f t="shared" si="11"/>
        <v>-</v>
      </c>
      <c r="H112" s="120"/>
      <c r="I112" s="26"/>
      <c r="J112" s="102" t="str">
        <f>IFERROR(MIN('MP Calculations'!$E$29/I112,1),"-")</f>
        <v>-</v>
      </c>
      <c r="K112" s="37"/>
      <c r="L112" s="26"/>
      <c r="M112" s="26"/>
      <c r="N112" s="26"/>
      <c r="O112" s="96" t="str">
        <f t="shared" si="9"/>
        <v>-</v>
      </c>
      <c r="P112" s="98" t="str">
        <f t="shared" si="10"/>
        <v>-</v>
      </c>
    </row>
    <row r="113" spans="3:16" x14ac:dyDescent="0.25">
      <c r="C113" s="26"/>
      <c r="D113" s="116"/>
      <c r="E113" s="34"/>
      <c r="F113" s="109" t="str">
        <f t="shared" si="11"/>
        <v>-</v>
      </c>
      <c r="H113" s="120"/>
      <c r="I113" s="26"/>
      <c r="J113" s="102" t="str">
        <f>IFERROR(MIN('MP Calculations'!$E$29/I113,1),"-")</f>
        <v>-</v>
      </c>
      <c r="K113" s="37"/>
      <c r="L113" s="26"/>
      <c r="M113" s="26"/>
      <c r="N113" s="26"/>
      <c r="O113" s="96" t="str">
        <f t="shared" si="9"/>
        <v>-</v>
      </c>
      <c r="P113" s="98" t="str">
        <f t="shared" si="10"/>
        <v>-</v>
      </c>
    </row>
    <row r="114" spans="3:16" x14ac:dyDescent="0.25">
      <c r="C114" s="26"/>
      <c r="D114" s="116"/>
      <c r="E114" s="34"/>
      <c r="F114" s="109" t="str">
        <f t="shared" si="11"/>
        <v>-</v>
      </c>
      <c r="H114" s="120"/>
      <c r="I114" s="26"/>
      <c r="J114" s="102" t="str">
        <f>IFERROR(MIN('MP Calculations'!$E$29/I114,1),"-")</f>
        <v>-</v>
      </c>
      <c r="K114" s="37"/>
      <c r="L114" s="26"/>
      <c r="M114" s="26"/>
      <c r="N114" s="26"/>
      <c r="O114" s="96" t="str">
        <f t="shared" si="9"/>
        <v>-</v>
      </c>
      <c r="P114" s="98" t="str">
        <f t="shared" si="10"/>
        <v>-</v>
      </c>
    </row>
    <row r="115" spans="3:16" x14ac:dyDescent="0.25">
      <c r="C115" s="26"/>
      <c r="D115" s="116"/>
      <c r="E115" s="34"/>
      <c r="F115" s="109" t="str">
        <f t="shared" si="11"/>
        <v>-</v>
      </c>
      <c r="H115" s="120"/>
      <c r="I115" s="26"/>
      <c r="J115" s="102" t="str">
        <f>IFERROR(MIN('MP Calculations'!$E$29/I115,1),"-")</f>
        <v>-</v>
      </c>
      <c r="K115" s="37"/>
      <c r="L115" s="26"/>
      <c r="M115" s="26"/>
      <c r="N115" s="26"/>
      <c r="O115" s="96" t="str">
        <f t="shared" si="9"/>
        <v>-</v>
      </c>
      <c r="P115" s="98" t="str">
        <f t="shared" si="10"/>
        <v>-</v>
      </c>
    </row>
    <row r="116" spans="3:16" x14ac:dyDescent="0.25">
      <c r="C116" s="26"/>
      <c r="D116" s="116"/>
      <c r="E116" s="34"/>
      <c r="F116" s="109" t="str">
        <f t="shared" si="11"/>
        <v>-</v>
      </c>
      <c r="H116" s="120"/>
      <c r="I116" s="26"/>
      <c r="J116" s="102" t="str">
        <f>IFERROR(MIN('MP Calculations'!$E$29/I116,1),"-")</f>
        <v>-</v>
      </c>
      <c r="K116" s="37"/>
      <c r="L116" s="26"/>
      <c r="M116" s="26"/>
      <c r="N116" s="26"/>
      <c r="O116" s="96" t="str">
        <f t="shared" si="9"/>
        <v>-</v>
      </c>
      <c r="P116" s="98" t="str">
        <f t="shared" si="10"/>
        <v>-</v>
      </c>
    </row>
    <row r="117" spans="3:16" x14ac:dyDescent="0.25">
      <c r="C117" s="26"/>
      <c r="D117" s="116"/>
      <c r="E117" s="34"/>
      <c r="F117" s="109" t="str">
        <f t="shared" si="11"/>
        <v>-</v>
      </c>
      <c r="H117" s="120"/>
      <c r="I117" s="26"/>
      <c r="J117" s="102" t="str">
        <f>IFERROR(MIN('MP Calculations'!$E$29/I117,1),"-")</f>
        <v>-</v>
      </c>
      <c r="K117" s="37"/>
      <c r="L117" s="26"/>
      <c r="M117" s="26"/>
      <c r="N117" s="26"/>
      <c r="O117" s="96" t="str">
        <f t="shared" si="9"/>
        <v>-</v>
      </c>
      <c r="P117" s="98" t="str">
        <f t="shared" si="10"/>
        <v>-</v>
      </c>
    </row>
    <row r="118" spans="3:16" x14ac:dyDescent="0.25">
      <c r="C118" s="26"/>
      <c r="D118" s="116"/>
      <c r="E118" s="34"/>
      <c r="F118" s="109" t="str">
        <f t="shared" si="11"/>
        <v>-</v>
      </c>
      <c r="H118" s="120"/>
      <c r="I118" s="26"/>
      <c r="J118" s="102" t="str">
        <f>IFERROR(MIN('MP Calculations'!$E$29/I118,1),"-")</f>
        <v>-</v>
      </c>
      <c r="K118" s="37"/>
      <c r="L118" s="26"/>
      <c r="M118" s="26"/>
      <c r="N118" s="26"/>
      <c r="O118" s="96" t="str">
        <f t="shared" si="9"/>
        <v>-</v>
      </c>
      <c r="P118" s="98" t="str">
        <f t="shared" si="10"/>
        <v>-</v>
      </c>
    </row>
    <row r="119" spans="3:16" x14ac:dyDescent="0.25">
      <c r="C119" s="26"/>
      <c r="D119" s="116"/>
      <c r="E119" s="34"/>
      <c r="F119" s="109" t="str">
        <f t="shared" si="11"/>
        <v>-</v>
      </c>
      <c r="H119" s="120"/>
      <c r="I119" s="26"/>
      <c r="J119" s="102" t="str">
        <f>IFERROR(MIN('MP Calculations'!$E$29/I119,1),"-")</f>
        <v>-</v>
      </c>
      <c r="K119" s="37"/>
      <c r="L119" s="26"/>
      <c r="M119" s="26"/>
      <c r="N119" s="26"/>
      <c r="O119" s="96" t="str">
        <f t="shared" si="9"/>
        <v>-</v>
      </c>
      <c r="P119" s="98" t="str">
        <f t="shared" si="10"/>
        <v>-</v>
      </c>
    </row>
    <row r="120" spans="3:16" x14ac:dyDescent="0.25">
      <c r="C120" s="26"/>
      <c r="D120" s="116"/>
      <c r="E120" s="34"/>
      <c r="F120" s="109" t="str">
        <f t="shared" si="11"/>
        <v>-</v>
      </c>
      <c r="H120" s="120"/>
      <c r="I120" s="26"/>
      <c r="J120" s="102" t="str">
        <f>IFERROR(MIN('MP Calculations'!$E$29/I120,1),"-")</f>
        <v>-</v>
      </c>
      <c r="K120" s="37"/>
      <c r="L120" s="26"/>
      <c r="M120" s="26"/>
      <c r="N120" s="26"/>
      <c r="O120" s="96" t="str">
        <f t="shared" si="9"/>
        <v>-</v>
      </c>
      <c r="P120" s="98" t="str">
        <f t="shared" si="10"/>
        <v>-</v>
      </c>
    </row>
    <row r="121" spans="3:16" x14ac:dyDescent="0.25">
      <c r="C121" s="26"/>
      <c r="D121" s="116"/>
      <c r="E121" s="34"/>
      <c r="F121" s="109" t="str">
        <f t="shared" si="11"/>
        <v>-</v>
      </c>
      <c r="H121" s="120"/>
      <c r="I121" s="26"/>
      <c r="J121" s="102" t="str">
        <f>IFERROR(MIN('MP Calculations'!$E$29/I121,1),"-")</f>
        <v>-</v>
      </c>
      <c r="K121" s="37"/>
      <c r="L121" s="26"/>
      <c r="M121" s="26"/>
      <c r="N121" s="26"/>
      <c r="O121" s="96" t="str">
        <f t="shared" si="9"/>
        <v>-</v>
      </c>
      <c r="P121" s="98" t="str">
        <f t="shared" si="10"/>
        <v>-</v>
      </c>
    </row>
    <row r="122" spans="3:16" x14ac:dyDescent="0.25">
      <c r="C122" s="26"/>
      <c r="D122" s="116"/>
      <c r="E122" s="34"/>
      <c r="F122" s="109" t="str">
        <f t="shared" si="11"/>
        <v>-</v>
      </c>
      <c r="H122" s="120"/>
      <c r="I122" s="26"/>
      <c r="J122" s="102" t="str">
        <f>IFERROR(MIN('MP Calculations'!$E$29/I122,1),"-")</f>
        <v>-</v>
      </c>
      <c r="K122" s="37"/>
      <c r="L122" s="26"/>
      <c r="M122" s="26"/>
      <c r="N122" s="26"/>
      <c r="O122" s="96" t="str">
        <f t="shared" si="9"/>
        <v>-</v>
      </c>
      <c r="P122" s="98" t="str">
        <f t="shared" si="10"/>
        <v>-</v>
      </c>
    </row>
    <row r="123" spans="3:16" x14ac:dyDescent="0.25">
      <c r="C123" s="26"/>
      <c r="D123" s="116"/>
      <c r="E123" s="34"/>
      <c r="F123" s="109" t="str">
        <f t="shared" si="11"/>
        <v>-</v>
      </c>
      <c r="H123" s="120"/>
      <c r="I123" s="26"/>
      <c r="J123" s="102" t="str">
        <f>IFERROR(MIN('MP Calculations'!$E$29/I123,1),"-")</f>
        <v>-</v>
      </c>
      <c r="K123" s="37"/>
      <c r="L123" s="26"/>
      <c r="M123" s="26"/>
      <c r="N123" s="26"/>
      <c r="O123" s="96" t="str">
        <f t="shared" si="9"/>
        <v>-</v>
      </c>
      <c r="P123" s="98" t="str">
        <f t="shared" si="10"/>
        <v>-</v>
      </c>
    </row>
    <row r="124" spans="3:16" x14ac:dyDescent="0.25">
      <c r="C124" s="26"/>
      <c r="D124" s="116"/>
      <c r="E124" s="34"/>
      <c r="F124" s="109" t="str">
        <f t="shared" ref="F124:F187" si="12">IF(E124="","-",IF(OR(E124&lt;$E$15,E124&gt;$E$16),"ERROR - date outside of range",IF(MONTH(E124)&gt;=7,YEAR(E124)&amp;"-"&amp;IF(YEAR(E124)=1999,"00",IF(AND(YEAR(E124)&gt;=2000,YEAR(E124)&lt;2009),"0","")&amp;RIGHT(YEAR(E124),2)+1),RIGHT(YEAR(E124),4)-1&amp;"-"&amp;RIGHT(YEAR(E124),2))))</f>
        <v>-</v>
      </c>
      <c r="H124" s="120"/>
      <c r="I124" s="26"/>
      <c r="J124" s="102" t="str">
        <f>IFERROR(MIN('MP Calculations'!$E$29/I124,1),"-")</f>
        <v>-</v>
      </c>
      <c r="K124" s="37"/>
      <c r="L124" s="26"/>
      <c r="M124" s="26"/>
      <c r="N124" s="26"/>
      <c r="O124" s="96" t="str">
        <f t="shared" si="9"/>
        <v>-</v>
      </c>
      <c r="P124" s="98" t="str">
        <f t="shared" ref="P124:P187" si="13">IF(O124="-","-",IF(OR(E124&lt;$E$15,E124&gt;$E$16),0,O124*J124))</f>
        <v>-</v>
      </c>
    </row>
    <row r="125" spans="3:16" x14ac:dyDescent="0.25">
      <c r="C125" s="26"/>
      <c r="D125" s="116"/>
      <c r="E125" s="34"/>
      <c r="F125" s="109" t="str">
        <f t="shared" si="12"/>
        <v>-</v>
      </c>
      <c r="H125" s="120"/>
      <c r="I125" s="26"/>
      <c r="J125" s="102" t="str">
        <f>IFERROR(MIN('MP Calculations'!$E$29/I125,1),"-")</f>
        <v>-</v>
      </c>
      <c r="K125" s="37"/>
      <c r="L125" s="26"/>
      <c r="M125" s="26"/>
      <c r="N125" s="26"/>
      <c r="O125" s="96" t="str">
        <f t="shared" si="9"/>
        <v>-</v>
      </c>
      <c r="P125" s="98" t="str">
        <f t="shared" si="13"/>
        <v>-</v>
      </c>
    </row>
    <row r="126" spans="3:16" x14ac:dyDescent="0.25">
      <c r="C126" s="26"/>
      <c r="D126" s="116"/>
      <c r="E126" s="34"/>
      <c r="F126" s="109" t="str">
        <f t="shared" si="12"/>
        <v>-</v>
      </c>
      <c r="H126" s="120"/>
      <c r="I126" s="26"/>
      <c r="J126" s="102" t="str">
        <f>IFERROR(MIN('MP Calculations'!$E$29/I126,1),"-")</f>
        <v>-</v>
      </c>
      <c r="K126" s="37"/>
      <c r="L126" s="26"/>
      <c r="M126" s="26"/>
      <c r="N126" s="26"/>
      <c r="O126" s="96" t="str">
        <f t="shared" si="9"/>
        <v>-</v>
      </c>
      <c r="P126" s="98" t="str">
        <f t="shared" si="13"/>
        <v>-</v>
      </c>
    </row>
    <row r="127" spans="3:16" x14ac:dyDescent="0.25">
      <c r="C127" s="26"/>
      <c r="D127" s="116"/>
      <c r="E127" s="34"/>
      <c r="F127" s="109" t="str">
        <f t="shared" si="12"/>
        <v>-</v>
      </c>
      <c r="H127" s="120"/>
      <c r="I127" s="26"/>
      <c r="J127" s="102" t="str">
        <f>IFERROR(MIN('MP Calculations'!$E$29/I127,1),"-")</f>
        <v>-</v>
      </c>
      <c r="K127" s="37"/>
      <c r="L127" s="26"/>
      <c r="M127" s="26"/>
      <c r="N127" s="26"/>
      <c r="O127" s="96" t="str">
        <f t="shared" si="9"/>
        <v>-</v>
      </c>
      <c r="P127" s="98" t="str">
        <f t="shared" si="13"/>
        <v>-</v>
      </c>
    </row>
    <row r="128" spans="3:16" x14ac:dyDescent="0.25">
      <c r="C128" s="26"/>
      <c r="D128" s="116"/>
      <c r="E128" s="34"/>
      <c r="F128" s="109" t="str">
        <f t="shared" si="12"/>
        <v>-</v>
      </c>
      <c r="H128" s="120"/>
      <c r="I128" s="26"/>
      <c r="J128" s="102" t="str">
        <f>IFERROR(MIN('MP Calculations'!$E$29/I128,1),"-")</f>
        <v>-</v>
      </c>
      <c r="K128" s="37"/>
      <c r="L128" s="26"/>
      <c r="M128" s="26"/>
      <c r="N128" s="26"/>
      <c r="O128" s="96" t="str">
        <f t="shared" si="9"/>
        <v>-</v>
      </c>
      <c r="P128" s="98" t="str">
        <f t="shared" si="13"/>
        <v>-</v>
      </c>
    </row>
    <row r="129" spans="3:16" x14ac:dyDescent="0.25">
      <c r="C129" s="26"/>
      <c r="D129" s="116"/>
      <c r="E129" s="34"/>
      <c r="F129" s="109" t="str">
        <f t="shared" si="12"/>
        <v>-</v>
      </c>
      <c r="H129" s="120"/>
      <c r="I129" s="26"/>
      <c r="J129" s="102" t="str">
        <f>IFERROR(MIN('MP Calculations'!$E$29/I129,1),"-")</f>
        <v>-</v>
      </c>
      <c r="K129" s="37"/>
      <c r="L129" s="26"/>
      <c r="M129" s="26"/>
      <c r="N129" s="26"/>
      <c r="O129" s="96" t="str">
        <f t="shared" si="9"/>
        <v>-</v>
      </c>
      <c r="P129" s="98" t="str">
        <f t="shared" si="13"/>
        <v>-</v>
      </c>
    </row>
    <row r="130" spans="3:16" x14ac:dyDescent="0.25">
      <c r="C130" s="26"/>
      <c r="D130" s="116"/>
      <c r="E130" s="34"/>
      <c r="F130" s="109" t="str">
        <f t="shared" si="12"/>
        <v>-</v>
      </c>
      <c r="H130" s="120"/>
      <c r="I130" s="26"/>
      <c r="J130" s="102" t="str">
        <f>IFERROR(MIN('MP Calculations'!$E$29/I130,1),"-")</f>
        <v>-</v>
      </c>
      <c r="K130" s="37"/>
      <c r="L130" s="26"/>
      <c r="M130" s="26"/>
      <c r="N130" s="26"/>
      <c r="O130" s="96" t="str">
        <f t="shared" si="9"/>
        <v>-</v>
      </c>
      <c r="P130" s="98" t="str">
        <f t="shared" si="13"/>
        <v>-</v>
      </c>
    </row>
    <row r="131" spans="3:16" x14ac:dyDescent="0.25">
      <c r="C131" s="26"/>
      <c r="D131" s="116"/>
      <c r="E131" s="34"/>
      <c r="F131" s="109" t="str">
        <f t="shared" si="12"/>
        <v>-</v>
      </c>
      <c r="H131" s="120"/>
      <c r="I131" s="26"/>
      <c r="J131" s="102" t="str">
        <f>IFERROR(MIN('MP Calculations'!$E$29/I131,1),"-")</f>
        <v>-</v>
      </c>
      <c r="K131" s="37"/>
      <c r="L131" s="26"/>
      <c r="M131" s="26"/>
      <c r="N131" s="26"/>
      <c r="O131" s="96" t="str">
        <f t="shared" si="9"/>
        <v>-</v>
      </c>
      <c r="P131" s="98" t="str">
        <f t="shared" si="13"/>
        <v>-</v>
      </c>
    </row>
    <row r="132" spans="3:16" x14ac:dyDescent="0.25">
      <c r="C132" s="26"/>
      <c r="D132" s="116"/>
      <c r="E132" s="34"/>
      <c r="F132" s="109" t="str">
        <f t="shared" si="12"/>
        <v>-</v>
      </c>
      <c r="H132" s="120"/>
      <c r="I132" s="26"/>
      <c r="J132" s="102" t="str">
        <f>IFERROR(MIN('MP Calculations'!$E$29/I132,1),"-")</f>
        <v>-</v>
      </c>
      <c r="K132" s="37"/>
      <c r="L132" s="26"/>
      <c r="M132" s="26"/>
      <c r="N132" s="26"/>
      <c r="O132" s="96" t="str">
        <f t="shared" si="9"/>
        <v>-</v>
      </c>
      <c r="P132" s="98" t="str">
        <f t="shared" si="13"/>
        <v>-</v>
      </c>
    </row>
    <row r="133" spans="3:16" x14ac:dyDescent="0.25">
      <c r="C133" s="26"/>
      <c r="D133" s="116"/>
      <c r="E133" s="34"/>
      <c r="F133" s="109" t="str">
        <f t="shared" si="12"/>
        <v>-</v>
      </c>
      <c r="H133" s="120"/>
      <c r="I133" s="26"/>
      <c r="J133" s="102" t="str">
        <f>IFERROR(MIN('MP Calculations'!$E$29/I133,1),"-")</f>
        <v>-</v>
      </c>
      <c r="K133" s="37"/>
      <c r="L133" s="26"/>
      <c r="M133" s="26"/>
      <c r="N133" s="26"/>
      <c r="O133" s="96" t="str">
        <f t="shared" si="9"/>
        <v>-</v>
      </c>
      <c r="P133" s="98" t="str">
        <f t="shared" si="13"/>
        <v>-</v>
      </c>
    </row>
    <row r="134" spans="3:16" x14ac:dyDescent="0.25">
      <c r="C134" s="26"/>
      <c r="D134" s="116"/>
      <c r="E134" s="34"/>
      <c r="F134" s="109" t="str">
        <f t="shared" si="12"/>
        <v>-</v>
      </c>
      <c r="H134" s="120"/>
      <c r="I134" s="26"/>
      <c r="J134" s="102" t="str">
        <f>IFERROR(MIN('MP Calculations'!$E$29/I134,1),"-")</f>
        <v>-</v>
      </c>
      <c r="K134" s="37"/>
      <c r="L134" s="26"/>
      <c r="M134" s="26"/>
      <c r="N134" s="26"/>
      <c r="O134" s="96" t="str">
        <f t="shared" si="9"/>
        <v>-</v>
      </c>
      <c r="P134" s="98" t="str">
        <f t="shared" si="13"/>
        <v>-</v>
      </c>
    </row>
    <row r="135" spans="3:16" x14ac:dyDescent="0.25">
      <c r="C135" s="26"/>
      <c r="D135" s="116"/>
      <c r="E135" s="34"/>
      <c r="F135" s="109" t="str">
        <f t="shared" si="12"/>
        <v>-</v>
      </c>
      <c r="H135" s="120"/>
      <c r="I135" s="26"/>
      <c r="J135" s="102" t="str">
        <f>IFERROR(MIN('MP Calculations'!$E$29/I135,1),"-")</f>
        <v>-</v>
      </c>
      <c r="K135" s="37"/>
      <c r="L135" s="26"/>
      <c r="M135" s="26"/>
      <c r="N135" s="26"/>
      <c r="O135" s="96" t="str">
        <f t="shared" si="9"/>
        <v>-</v>
      </c>
      <c r="P135" s="98" t="str">
        <f t="shared" si="13"/>
        <v>-</v>
      </c>
    </row>
    <row r="136" spans="3:16" x14ac:dyDescent="0.25">
      <c r="C136" s="26"/>
      <c r="D136" s="116"/>
      <c r="E136" s="34"/>
      <c r="F136" s="109" t="str">
        <f t="shared" si="12"/>
        <v>-</v>
      </c>
      <c r="H136" s="120"/>
      <c r="I136" s="26"/>
      <c r="J136" s="102" t="str">
        <f>IFERROR(MIN('MP Calculations'!$E$29/I136,1),"-")</f>
        <v>-</v>
      </c>
      <c r="K136" s="37"/>
      <c r="L136" s="26"/>
      <c r="M136" s="26"/>
      <c r="N136" s="26"/>
      <c r="O136" s="96" t="str">
        <f t="shared" si="9"/>
        <v>-</v>
      </c>
      <c r="P136" s="98" t="str">
        <f t="shared" si="13"/>
        <v>-</v>
      </c>
    </row>
    <row r="137" spans="3:16" x14ac:dyDescent="0.25">
      <c r="C137" s="26"/>
      <c r="D137" s="116"/>
      <c r="E137" s="34"/>
      <c r="F137" s="109" t="str">
        <f t="shared" si="12"/>
        <v>-</v>
      </c>
      <c r="H137" s="120"/>
      <c r="I137" s="26"/>
      <c r="J137" s="102" t="str">
        <f>IFERROR(MIN('MP Calculations'!$E$29/I137,1),"-")</f>
        <v>-</v>
      </c>
      <c r="K137" s="37"/>
      <c r="L137" s="26"/>
      <c r="M137" s="26"/>
      <c r="N137" s="26"/>
      <c r="O137" s="96" t="str">
        <f t="shared" si="9"/>
        <v>-</v>
      </c>
      <c r="P137" s="98" t="str">
        <f t="shared" si="13"/>
        <v>-</v>
      </c>
    </row>
    <row r="138" spans="3:16" x14ac:dyDescent="0.25">
      <c r="C138" s="26"/>
      <c r="D138" s="116"/>
      <c r="E138" s="34"/>
      <c r="F138" s="109" t="str">
        <f t="shared" si="12"/>
        <v>-</v>
      </c>
      <c r="H138" s="120"/>
      <c r="I138" s="26"/>
      <c r="J138" s="102" t="str">
        <f>IFERROR(MIN('MP Calculations'!$E$29/I138,1),"-")</f>
        <v>-</v>
      </c>
      <c r="K138" s="37"/>
      <c r="L138" s="26"/>
      <c r="M138" s="26"/>
      <c r="N138" s="26"/>
      <c r="O138" s="96" t="str">
        <f t="shared" si="9"/>
        <v>-</v>
      </c>
      <c r="P138" s="98" t="str">
        <f t="shared" si="13"/>
        <v>-</v>
      </c>
    </row>
    <row r="139" spans="3:16" x14ac:dyDescent="0.25">
      <c r="C139" s="26"/>
      <c r="D139" s="116"/>
      <c r="E139" s="34"/>
      <c r="F139" s="109" t="str">
        <f t="shared" si="12"/>
        <v>-</v>
      </c>
      <c r="H139" s="120"/>
      <c r="I139" s="26"/>
      <c r="J139" s="102" t="str">
        <f>IFERROR(MIN('MP Calculations'!$E$29/I139,1),"-")</f>
        <v>-</v>
      </c>
      <c r="K139" s="37"/>
      <c r="L139" s="26"/>
      <c r="M139" s="26"/>
      <c r="N139" s="26"/>
      <c r="O139" s="96" t="str">
        <f t="shared" si="9"/>
        <v>-</v>
      </c>
      <c r="P139" s="98" t="str">
        <f t="shared" si="13"/>
        <v>-</v>
      </c>
    </row>
    <row r="140" spans="3:16" x14ac:dyDescent="0.25">
      <c r="C140" s="26"/>
      <c r="D140" s="116"/>
      <c r="E140" s="34"/>
      <c r="F140" s="109" t="str">
        <f t="shared" si="12"/>
        <v>-</v>
      </c>
      <c r="H140" s="120"/>
      <c r="I140" s="26"/>
      <c r="J140" s="102" t="str">
        <f>IFERROR(MIN('MP Calculations'!$E$29/I140,1),"-")</f>
        <v>-</v>
      </c>
      <c r="K140" s="37"/>
      <c r="L140" s="26"/>
      <c r="M140" s="26"/>
      <c r="N140" s="26"/>
      <c r="O140" s="96" t="str">
        <f t="shared" si="9"/>
        <v>-</v>
      </c>
      <c r="P140" s="98" t="str">
        <f t="shared" si="13"/>
        <v>-</v>
      </c>
    </row>
    <row r="141" spans="3:16" x14ac:dyDescent="0.25">
      <c r="C141" s="26"/>
      <c r="D141" s="116"/>
      <c r="E141" s="34"/>
      <c r="F141" s="109" t="str">
        <f t="shared" si="12"/>
        <v>-</v>
      </c>
      <c r="H141" s="120"/>
      <c r="I141" s="26"/>
      <c r="J141" s="102" t="str">
        <f>IFERROR(MIN('MP Calculations'!$E$29/I141,1),"-")</f>
        <v>-</v>
      </c>
      <c r="K141" s="37"/>
      <c r="L141" s="26"/>
      <c r="M141" s="26"/>
      <c r="N141" s="26"/>
      <c r="O141" s="96" t="str">
        <f t="shared" si="9"/>
        <v>-</v>
      </c>
      <c r="P141" s="98" t="str">
        <f t="shared" si="13"/>
        <v>-</v>
      </c>
    </row>
    <row r="142" spans="3:16" x14ac:dyDescent="0.25">
      <c r="C142" s="26"/>
      <c r="D142" s="116"/>
      <c r="E142" s="34"/>
      <c r="F142" s="109" t="str">
        <f t="shared" si="12"/>
        <v>-</v>
      </c>
      <c r="H142" s="120"/>
      <c r="I142" s="26"/>
      <c r="J142" s="102" t="str">
        <f>IFERROR(MIN('MP Calculations'!$E$29/I142,1),"-")</f>
        <v>-</v>
      </c>
      <c r="K142" s="37"/>
      <c r="L142" s="26"/>
      <c r="M142" s="26"/>
      <c r="N142" s="26"/>
      <c r="O142" s="96" t="str">
        <f t="shared" si="9"/>
        <v>-</v>
      </c>
      <c r="P142" s="98" t="str">
        <f t="shared" si="13"/>
        <v>-</v>
      </c>
    </row>
    <row r="143" spans="3:16" x14ac:dyDescent="0.25">
      <c r="C143" s="26"/>
      <c r="D143" s="116"/>
      <c r="E143" s="34"/>
      <c r="F143" s="109" t="str">
        <f t="shared" si="12"/>
        <v>-</v>
      </c>
      <c r="H143" s="120"/>
      <c r="I143" s="26"/>
      <c r="J143" s="102" t="str">
        <f>IFERROR(MIN('MP Calculations'!$E$29/I143,1),"-")</f>
        <v>-</v>
      </c>
      <c r="K143" s="37"/>
      <c r="L143" s="26"/>
      <c r="M143" s="26"/>
      <c r="N143" s="26"/>
      <c r="O143" s="96" t="str">
        <f t="shared" si="9"/>
        <v>-</v>
      </c>
      <c r="P143" s="98" t="str">
        <f t="shared" si="13"/>
        <v>-</v>
      </c>
    </row>
    <row r="144" spans="3:16" x14ac:dyDescent="0.25">
      <c r="C144" s="26"/>
      <c r="D144" s="116"/>
      <c r="E144" s="34"/>
      <c r="F144" s="109" t="str">
        <f t="shared" si="12"/>
        <v>-</v>
      </c>
      <c r="H144" s="120"/>
      <c r="I144" s="26"/>
      <c r="J144" s="102" t="str">
        <f>IFERROR(MIN('MP Calculations'!$E$29/I144,1),"-")</f>
        <v>-</v>
      </c>
      <c r="K144" s="37"/>
      <c r="L144" s="26"/>
      <c r="M144" s="26"/>
      <c r="N144" s="26"/>
      <c r="O144" s="96" t="str">
        <f t="shared" si="9"/>
        <v>-</v>
      </c>
      <c r="P144" s="98" t="str">
        <f t="shared" si="13"/>
        <v>-</v>
      </c>
    </row>
    <row r="145" spans="3:16" x14ac:dyDescent="0.25">
      <c r="C145" s="26"/>
      <c r="D145" s="116"/>
      <c r="E145" s="34"/>
      <c r="F145" s="109" t="str">
        <f t="shared" si="12"/>
        <v>-</v>
      </c>
      <c r="H145" s="120"/>
      <c r="I145" s="26"/>
      <c r="J145" s="102" t="str">
        <f>IFERROR(MIN('MP Calculations'!$E$29/I145,1),"-")</f>
        <v>-</v>
      </c>
      <c r="K145" s="37"/>
      <c r="L145" s="26"/>
      <c r="M145" s="26"/>
      <c r="N145" s="26"/>
      <c r="O145" s="96" t="str">
        <f t="shared" si="9"/>
        <v>-</v>
      </c>
      <c r="P145" s="98" t="str">
        <f t="shared" si="13"/>
        <v>-</v>
      </c>
    </row>
    <row r="146" spans="3:16" x14ac:dyDescent="0.25">
      <c r="C146" s="26"/>
      <c r="D146" s="116"/>
      <c r="E146" s="34"/>
      <c r="F146" s="109" t="str">
        <f t="shared" si="12"/>
        <v>-</v>
      </c>
      <c r="H146" s="120"/>
      <c r="I146" s="26"/>
      <c r="J146" s="102" t="str">
        <f>IFERROR(MIN('MP Calculations'!$E$29/I146,1),"-")</f>
        <v>-</v>
      </c>
      <c r="K146" s="37"/>
      <c r="L146" s="26"/>
      <c r="M146" s="26"/>
      <c r="N146" s="26"/>
      <c r="O146" s="96" t="str">
        <f t="shared" si="9"/>
        <v>-</v>
      </c>
      <c r="P146" s="98" t="str">
        <f t="shared" si="13"/>
        <v>-</v>
      </c>
    </row>
    <row r="147" spans="3:16" x14ac:dyDescent="0.25">
      <c r="C147" s="26"/>
      <c r="D147" s="116"/>
      <c r="E147" s="34"/>
      <c r="F147" s="109" t="str">
        <f t="shared" si="12"/>
        <v>-</v>
      </c>
      <c r="H147" s="120"/>
      <c r="I147" s="26"/>
      <c r="J147" s="102" t="str">
        <f>IFERROR(MIN('MP Calculations'!$E$29/I147,1),"-")</f>
        <v>-</v>
      </c>
      <c r="K147" s="37"/>
      <c r="L147" s="26"/>
      <c r="M147" s="26"/>
      <c r="N147" s="26"/>
      <c r="O147" s="96" t="str">
        <f t="shared" si="9"/>
        <v>-</v>
      </c>
      <c r="P147" s="98" t="str">
        <f t="shared" si="13"/>
        <v>-</v>
      </c>
    </row>
    <row r="148" spans="3:16" x14ac:dyDescent="0.25">
      <c r="C148" s="26"/>
      <c r="D148" s="116"/>
      <c r="E148" s="34"/>
      <c r="F148" s="109" t="str">
        <f t="shared" si="12"/>
        <v>-</v>
      </c>
      <c r="H148" s="120"/>
      <c r="I148" s="26"/>
      <c r="J148" s="102" t="str">
        <f>IFERROR(MIN('MP Calculations'!$E$29/I148,1),"-")</f>
        <v>-</v>
      </c>
      <c r="K148" s="37"/>
      <c r="L148" s="26"/>
      <c r="M148" s="26"/>
      <c r="N148" s="26"/>
      <c r="O148" s="96" t="str">
        <f t="shared" si="9"/>
        <v>-</v>
      </c>
      <c r="P148" s="98" t="str">
        <f t="shared" si="13"/>
        <v>-</v>
      </c>
    </row>
    <row r="149" spans="3:16" x14ac:dyDescent="0.25">
      <c r="C149" s="26"/>
      <c r="D149" s="116"/>
      <c r="E149" s="34"/>
      <c r="F149" s="109" t="str">
        <f t="shared" si="12"/>
        <v>-</v>
      </c>
      <c r="H149" s="120"/>
      <c r="I149" s="26"/>
      <c r="J149" s="102" t="str">
        <f>IFERROR(MIN('MP Calculations'!$E$29/I149,1),"-")</f>
        <v>-</v>
      </c>
      <c r="K149" s="37"/>
      <c r="L149" s="26"/>
      <c r="M149" s="26"/>
      <c r="N149" s="26"/>
      <c r="O149" s="96" t="str">
        <f t="shared" si="9"/>
        <v>-</v>
      </c>
      <c r="P149" s="98" t="str">
        <f t="shared" si="13"/>
        <v>-</v>
      </c>
    </row>
    <row r="150" spans="3:16" x14ac:dyDescent="0.25">
      <c r="C150" s="26"/>
      <c r="D150" s="116"/>
      <c r="E150" s="34"/>
      <c r="F150" s="109" t="str">
        <f t="shared" si="12"/>
        <v>-</v>
      </c>
      <c r="H150" s="120"/>
      <c r="I150" s="26"/>
      <c r="J150" s="102" t="str">
        <f>IFERROR(MIN('MP Calculations'!$E$29/I150,1),"-")</f>
        <v>-</v>
      </c>
      <c r="K150" s="37"/>
      <c r="L150" s="26"/>
      <c r="M150" s="26"/>
      <c r="N150" s="26"/>
      <c r="O150" s="96" t="str">
        <f t="shared" si="9"/>
        <v>-</v>
      </c>
      <c r="P150" s="98" t="str">
        <f t="shared" si="13"/>
        <v>-</v>
      </c>
    </row>
    <row r="151" spans="3:16" x14ac:dyDescent="0.25">
      <c r="C151" s="26"/>
      <c r="D151" s="116"/>
      <c r="E151" s="34"/>
      <c r="F151" s="109" t="str">
        <f t="shared" si="12"/>
        <v>-</v>
      </c>
      <c r="H151" s="120"/>
      <c r="I151" s="26"/>
      <c r="J151" s="102" t="str">
        <f>IFERROR(MIN('MP Calculations'!$E$29/I151,1),"-")</f>
        <v>-</v>
      </c>
      <c r="K151" s="37"/>
      <c r="L151" s="26"/>
      <c r="M151" s="26"/>
      <c r="N151" s="26"/>
      <c r="O151" s="96" t="str">
        <f t="shared" si="9"/>
        <v>-</v>
      </c>
      <c r="P151" s="98" t="str">
        <f t="shared" si="13"/>
        <v>-</v>
      </c>
    </row>
    <row r="152" spans="3:16" x14ac:dyDescent="0.25">
      <c r="C152" s="26"/>
      <c r="D152" s="116"/>
      <c r="E152" s="34"/>
      <c r="F152" s="109" t="str">
        <f t="shared" si="12"/>
        <v>-</v>
      </c>
      <c r="H152" s="120"/>
      <c r="I152" s="26"/>
      <c r="J152" s="102" t="str">
        <f>IFERROR(MIN('MP Calculations'!$E$29/I152,1),"-")</f>
        <v>-</v>
      </c>
      <c r="K152" s="37"/>
      <c r="L152" s="26"/>
      <c r="M152" s="26"/>
      <c r="N152" s="26"/>
      <c r="O152" s="96" t="str">
        <f t="shared" si="9"/>
        <v>-</v>
      </c>
      <c r="P152" s="98" t="str">
        <f t="shared" si="13"/>
        <v>-</v>
      </c>
    </row>
    <row r="153" spans="3:16" x14ac:dyDescent="0.25">
      <c r="C153" s="26"/>
      <c r="D153" s="116"/>
      <c r="E153" s="34"/>
      <c r="F153" s="109" t="str">
        <f t="shared" si="12"/>
        <v>-</v>
      </c>
      <c r="H153" s="120"/>
      <c r="I153" s="26"/>
      <c r="J153" s="102" t="str">
        <f>IFERROR(MIN('MP Calculations'!$E$29/I153,1),"-")</f>
        <v>-</v>
      </c>
      <c r="K153" s="37"/>
      <c r="L153" s="26"/>
      <c r="M153" s="26"/>
      <c r="N153" s="26"/>
      <c r="O153" s="96" t="str">
        <f t="shared" si="9"/>
        <v>-</v>
      </c>
      <c r="P153" s="98" t="str">
        <f t="shared" si="13"/>
        <v>-</v>
      </c>
    </row>
    <row r="154" spans="3:16" x14ac:dyDescent="0.25">
      <c r="C154" s="26"/>
      <c r="D154" s="116"/>
      <c r="E154" s="34"/>
      <c r="F154" s="109" t="str">
        <f t="shared" si="12"/>
        <v>-</v>
      </c>
      <c r="H154" s="120"/>
      <c r="I154" s="26"/>
      <c r="J154" s="102" t="str">
        <f>IFERROR(MIN('MP Calculations'!$E$29/I154,1),"-")</f>
        <v>-</v>
      </c>
      <c r="K154" s="37"/>
      <c r="L154" s="26"/>
      <c r="M154" s="26"/>
      <c r="N154" s="26"/>
      <c r="O154" s="96" t="str">
        <f t="shared" si="9"/>
        <v>-</v>
      </c>
      <c r="P154" s="98" t="str">
        <f t="shared" si="13"/>
        <v>-</v>
      </c>
    </row>
    <row r="155" spans="3:16" x14ac:dyDescent="0.25">
      <c r="C155" s="26"/>
      <c r="D155" s="116"/>
      <c r="E155" s="34"/>
      <c r="F155" s="109" t="str">
        <f t="shared" si="12"/>
        <v>-</v>
      </c>
      <c r="H155" s="120"/>
      <c r="I155" s="26"/>
      <c r="J155" s="102" t="str">
        <f>IFERROR(MIN('MP Calculations'!$E$29/I155,1),"-")</f>
        <v>-</v>
      </c>
      <c r="K155" s="37"/>
      <c r="L155" s="26"/>
      <c r="M155" s="26"/>
      <c r="N155" s="26"/>
      <c r="O155" s="96" t="str">
        <f t="shared" ref="O155:O218" si="14">IF(N155="","-",L155*N155)</f>
        <v>-</v>
      </c>
      <c r="P155" s="98" t="str">
        <f t="shared" si="13"/>
        <v>-</v>
      </c>
    </row>
    <row r="156" spans="3:16" x14ac:dyDescent="0.25">
      <c r="C156" s="26"/>
      <c r="D156" s="116"/>
      <c r="E156" s="34"/>
      <c r="F156" s="109" t="str">
        <f t="shared" si="12"/>
        <v>-</v>
      </c>
      <c r="H156" s="120"/>
      <c r="I156" s="26"/>
      <c r="J156" s="102" t="str">
        <f>IFERROR(MIN('MP Calculations'!$E$29/I156,1),"-")</f>
        <v>-</v>
      </c>
      <c r="K156" s="37"/>
      <c r="L156" s="26"/>
      <c r="M156" s="26"/>
      <c r="N156" s="26"/>
      <c r="O156" s="96" t="str">
        <f t="shared" si="14"/>
        <v>-</v>
      </c>
      <c r="P156" s="98" t="str">
        <f t="shared" si="13"/>
        <v>-</v>
      </c>
    </row>
    <row r="157" spans="3:16" x14ac:dyDescent="0.25">
      <c r="C157" s="26"/>
      <c r="D157" s="116"/>
      <c r="E157" s="34"/>
      <c r="F157" s="109" t="str">
        <f t="shared" si="12"/>
        <v>-</v>
      </c>
      <c r="H157" s="120"/>
      <c r="I157" s="26"/>
      <c r="J157" s="102" t="str">
        <f>IFERROR(MIN('MP Calculations'!$E$29/I157,1),"-")</f>
        <v>-</v>
      </c>
      <c r="K157" s="37"/>
      <c r="L157" s="26"/>
      <c r="M157" s="26"/>
      <c r="N157" s="26"/>
      <c r="O157" s="96" t="str">
        <f t="shared" si="14"/>
        <v>-</v>
      </c>
      <c r="P157" s="98" t="str">
        <f t="shared" si="13"/>
        <v>-</v>
      </c>
    </row>
    <row r="158" spans="3:16" x14ac:dyDescent="0.25">
      <c r="C158" s="26"/>
      <c r="D158" s="116"/>
      <c r="E158" s="34"/>
      <c r="F158" s="109" t="str">
        <f t="shared" si="12"/>
        <v>-</v>
      </c>
      <c r="H158" s="120"/>
      <c r="I158" s="26"/>
      <c r="J158" s="102" t="str">
        <f>IFERROR(MIN('MP Calculations'!$E$29/I158,1),"-")</f>
        <v>-</v>
      </c>
      <c r="K158" s="37"/>
      <c r="L158" s="26"/>
      <c r="M158" s="26"/>
      <c r="N158" s="26"/>
      <c r="O158" s="96" t="str">
        <f t="shared" si="14"/>
        <v>-</v>
      </c>
      <c r="P158" s="98" t="str">
        <f t="shared" si="13"/>
        <v>-</v>
      </c>
    </row>
    <row r="159" spans="3:16" x14ac:dyDescent="0.25">
      <c r="C159" s="26"/>
      <c r="D159" s="116"/>
      <c r="E159" s="34"/>
      <c r="F159" s="109" t="str">
        <f t="shared" si="12"/>
        <v>-</v>
      </c>
      <c r="H159" s="120"/>
      <c r="I159" s="26"/>
      <c r="J159" s="102" t="str">
        <f>IFERROR(MIN('MP Calculations'!$E$29/I159,1),"-")</f>
        <v>-</v>
      </c>
      <c r="K159" s="37"/>
      <c r="L159" s="26"/>
      <c r="M159" s="26"/>
      <c r="N159" s="26"/>
      <c r="O159" s="96" t="str">
        <f t="shared" si="14"/>
        <v>-</v>
      </c>
      <c r="P159" s="98" t="str">
        <f t="shared" si="13"/>
        <v>-</v>
      </c>
    </row>
    <row r="160" spans="3:16" x14ac:dyDescent="0.25">
      <c r="C160" s="26"/>
      <c r="D160" s="116"/>
      <c r="E160" s="34"/>
      <c r="F160" s="109" t="str">
        <f t="shared" si="12"/>
        <v>-</v>
      </c>
      <c r="H160" s="120"/>
      <c r="I160" s="26"/>
      <c r="J160" s="102" t="str">
        <f>IFERROR(MIN('MP Calculations'!$E$29/I160,1),"-")</f>
        <v>-</v>
      </c>
      <c r="K160" s="37"/>
      <c r="L160" s="26"/>
      <c r="M160" s="26"/>
      <c r="N160" s="26"/>
      <c r="O160" s="96" t="str">
        <f t="shared" si="14"/>
        <v>-</v>
      </c>
      <c r="P160" s="98" t="str">
        <f t="shared" si="13"/>
        <v>-</v>
      </c>
    </row>
    <row r="161" spans="3:16" x14ac:dyDescent="0.25">
      <c r="C161" s="26"/>
      <c r="D161" s="116"/>
      <c r="E161" s="34"/>
      <c r="F161" s="109" t="str">
        <f t="shared" si="12"/>
        <v>-</v>
      </c>
      <c r="H161" s="120"/>
      <c r="I161" s="26"/>
      <c r="J161" s="102" t="str">
        <f>IFERROR(MIN('MP Calculations'!$E$29/I161,1),"-")</f>
        <v>-</v>
      </c>
      <c r="K161" s="37"/>
      <c r="L161" s="26"/>
      <c r="M161" s="26"/>
      <c r="N161" s="26"/>
      <c r="O161" s="96" t="str">
        <f t="shared" si="14"/>
        <v>-</v>
      </c>
      <c r="P161" s="98" t="str">
        <f t="shared" si="13"/>
        <v>-</v>
      </c>
    </row>
    <row r="162" spans="3:16" x14ac:dyDescent="0.25">
      <c r="C162" s="26"/>
      <c r="D162" s="116"/>
      <c r="E162" s="34"/>
      <c r="F162" s="109" t="str">
        <f t="shared" si="12"/>
        <v>-</v>
      </c>
      <c r="H162" s="120"/>
      <c r="I162" s="26"/>
      <c r="J162" s="102" t="str">
        <f>IFERROR(MIN('MP Calculations'!$E$29/I162,1),"-")</f>
        <v>-</v>
      </c>
      <c r="K162" s="37"/>
      <c r="L162" s="26"/>
      <c r="M162" s="26"/>
      <c r="N162" s="26"/>
      <c r="O162" s="96" t="str">
        <f t="shared" si="14"/>
        <v>-</v>
      </c>
      <c r="P162" s="98" t="str">
        <f t="shared" si="13"/>
        <v>-</v>
      </c>
    </row>
    <row r="163" spans="3:16" x14ac:dyDescent="0.25">
      <c r="C163" s="26"/>
      <c r="D163" s="116"/>
      <c r="E163" s="34"/>
      <c r="F163" s="109" t="str">
        <f t="shared" si="12"/>
        <v>-</v>
      </c>
      <c r="H163" s="120"/>
      <c r="I163" s="26"/>
      <c r="J163" s="102" t="str">
        <f>IFERROR(MIN('MP Calculations'!$E$29/I163,1),"-")</f>
        <v>-</v>
      </c>
      <c r="K163" s="37"/>
      <c r="L163" s="26"/>
      <c r="M163" s="26"/>
      <c r="N163" s="26"/>
      <c r="O163" s="96" t="str">
        <f t="shared" si="14"/>
        <v>-</v>
      </c>
      <c r="P163" s="98" t="str">
        <f t="shared" si="13"/>
        <v>-</v>
      </c>
    </row>
    <row r="164" spans="3:16" x14ac:dyDescent="0.25">
      <c r="C164" s="26"/>
      <c r="D164" s="116"/>
      <c r="E164" s="34"/>
      <c r="F164" s="109" t="str">
        <f t="shared" si="12"/>
        <v>-</v>
      </c>
      <c r="H164" s="120"/>
      <c r="I164" s="26"/>
      <c r="J164" s="102" t="str">
        <f>IFERROR(MIN('MP Calculations'!$E$29/I164,1),"-")</f>
        <v>-</v>
      </c>
      <c r="K164" s="37"/>
      <c r="L164" s="26"/>
      <c r="M164" s="26"/>
      <c r="N164" s="26"/>
      <c r="O164" s="96" t="str">
        <f t="shared" si="14"/>
        <v>-</v>
      </c>
      <c r="P164" s="98" t="str">
        <f t="shared" si="13"/>
        <v>-</v>
      </c>
    </row>
    <row r="165" spans="3:16" x14ac:dyDescent="0.25">
      <c r="C165" s="26"/>
      <c r="D165" s="116"/>
      <c r="E165" s="34"/>
      <c r="F165" s="109" t="str">
        <f t="shared" si="12"/>
        <v>-</v>
      </c>
      <c r="H165" s="120"/>
      <c r="I165" s="26"/>
      <c r="J165" s="102" t="str">
        <f>IFERROR(MIN('MP Calculations'!$E$29/I165,1),"-")</f>
        <v>-</v>
      </c>
      <c r="K165" s="37"/>
      <c r="L165" s="26"/>
      <c r="M165" s="26"/>
      <c r="N165" s="26"/>
      <c r="O165" s="96" t="str">
        <f t="shared" si="14"/>
        <v>-</v>
      </c>
      <c r="P165" s="98" t="str">
        <f t="shared" si="13"/>
        <v>-</v>
      </c>
    </row>
    <row r="166" spans="3:16" x14ac:dyDescent="0.25">
      <c r="C166" s="26"/>
      <c r="D166" s="116"/>
      <c r="E166" s="34"/>
      <c r="F166" s="109" t="str">
        <f t="shared" si="12"/>
        <v>-</v>
      </c>
      <c r="H166" s="120"/>
      <c r="I166" s="26"/>
      <c r="J166" s="102" t="str">
        <f>IFERROR(MIN('MP Calculations'!$E$29/I166,1),"-")</f>
        <v>-</v>
      </c>
      <c r="K166" s="37"/>
      <c r="L166" s="26"/>
      <c r="M166" s="26"/>
      <c r="N166" s="26"/>
      <c r="O166" s="96" t="str">
        <f t="shared" si="14"/>
        <v>-</v>
      </c>
      <c r="P166" s="98" t="str">
        <f t="shared" si="13"/>
        <v>-</v>
      </c>
    </row>
    <row r="167" spans="3:16" x14ac:dyDescent="0.25">
      <c r="C167" s="26"/>
      <c r="D167" s="116"/>
      <c r="E167" s="34"/>
      <c r="F167" s="109" t="str">
        <f t="shared" si="12"/>
        <v>-</v>
      </c>
      <c r="H167" s="120"/>
      <c r="I167" s="26"/>
      <c r="J167" s="102" t="str">
        <f>IFERROR(MIN('MP Calculations'!$E$29/I167,1),"-")</f>
        <v>-</v>
      </c>
      <c r="K167" s="37"/>
      <c r="L167" s="26"/>
      <c r="M167" s="26"/>
      <c r="N167" s="26"/>
      <c r="O167" s="96" t="str">
        <f t="shared" si="14"/>
        <v>-</v>
      </c>
      <c r="P167" s="98" t="str">
        <f t="shared" si="13"/>
        <v>-</v>
      </c>
    </row>
    <row r="168" spans="3:16" x14ac:dyDescent="0.25">
      <c r="C168" s="26"/>
      <c r="D168" s="116"/>
      <c r="E168" s="34"/>
      <c r="F168" s="109" t="str">
        <f t="shared" si="12"/>
        <v>-</v>
      </c>
      <c r="H168" s="120"/>
      <c r="I168" s="26"/>
      <c r="J168" s="102" t="str">
        <f>IFERROR(MIN('MP Calculations'!$E$29/I168,1),"-")</f>
        <v>-</v>
      </c>
      <c r="K168" s="37"/>
      <c r="L168" s="26"/>
      <c r="M168" s="26"/>
      <c r="N168" s="26"/>
      <c r="O168" s="96" t="str">
        <f t="shared" si="14"/>
        <v>-</v>
      </c>
      <c r="P168" s="98" t="str">
        <f t="shared" si="13"/>
        <v>-</v>
      </c>
    </row>
    <row r="169" spans="3:16" x14ac:dyDescent="0.25">
      <c r="C169" s="26"/>
      <c r="D169" s="116"/>
      <c r="E169" s="34"/>
      <c r="F169" s="109" t="str">
        <f t="shared" si="12"/>
        <v>-</v>
      </c>
      <c r="H169" s="120"/>
      <c r="I169" s="26"/>
      <c r="J169" s="102" t="str">
        <f>IFERROR(MIN('MP Calculations'!$E$29/I169,1),"-")</f>
        <v>-</v>
      </c>
      <c r="K169" s="37"/>
      <c r="L169" s="26"/>
      <c r="M169" s="26"/>
      <c r="N169" s="26"/>
      <c r="O169" s="96" t="str">
        <f t="shared" si="14"/>
        <v>-</v>
      </c>
      <c r="P169" s="98" t="str">
        <f t="shared" si="13"/>
        <v>-</v>
      </c>
    </row>
    <row r="170" spans="3:16" x14ac:dyDescent="0.25">
      <c r="C170" s="26"/>
      <c r="D170" s="116"/>
      <c r="E170" s="34"/>
      <c r="F170" s="109" t="str">
        <f t="shared" si="12"/>
        <v>-</v>
      </c>
      <c r="H170" s="120"/>
      <c r="I170" s="26"/>
      <c r="J170" s="102" t="str">
        <f>IFERROR(MIN('MP Calculations'!$E$29/I170,1),"-")</f>
        <v>-</v>
      </c>
      <c r="K170" s="37"/>
      <c r="L170" s="26"/>
      <c r="M170" s="26"/>
      <c r="N170" s="26"/>
      <c r="O170" s="96" t="str">
        <f t="shared" si="14"/>
        <v>-</v>
      </c>
      <c r="P170" s="98" t="str">
        <f t="shared" si="13"/>
        <v>-</v>
      </c>
    </row>
    <row r="171" spans="3:16" x14ac:dyDescent="0.25">
      <c r="C171" s="26"/>
      <c r="D171" s="116"/>
      <c r="E171" s="34"/>
      <c r="F171" s="109" t="str">
        <f t="shared" si="12"/>
        <v>-</v>
      </c>
      <c r="H171" s="120"/>
      <c r="I171" s="26"/>
      <c r="J171" s="102" t="str">
        <f>IFERROR(MIN('MP Calculations'!$E$29/I171,1),"-")</f>
        <v>-</v>
      </c>
      <c r="K171" s="37"/>
      <c r="L171" s="26"/>
      <c r="M171" s="26"/>
      <c r="N171" s="26"/>
      <c r="O171" s="96" t="str">
        <f t="shared" si="14"/>
        <v>-</v>
      </c>
      <c r="P171" s="98" t="str">
        <f t="shared" si="13"/>
        <v>-</v>
      </c>
    </row>
    <row r="172" spans="3:16" x14ac:dyDescent="0.25">
      <c r="C172" s="26"/>
      <c r="D172" s="116"/>
      <c r="E172" s="34"/>
      <c r="F172" s="109" t="str">
        <f t="shared" si="12"/>
        <v>-</v>
      </c>
      <c r="H172" s="120"/>
      <c r="I172" s="26"/>
      <c r="J172" s="102" t="str">
        <f>IFERROR(MIN('MP Calculations'!$E$29/I172,1),"-")</f>
        <v>-</v>
      </c>
      <c r="K172" s="37"/>
      <c r="L172" s="26"/>
      <c r="M172" s="26"/>
      <c r="N172" s="26"/>
      <c r="O172" s="96" t="str">
        <f t="shared" si="14"/>
        <v>-</v>
      </c>
      <c r="P172" s="98" t="str">
        <f t="shared" si="13"/>
        <v>-</v>
      </c>
    </row>
    <row r="173" spans="3:16" x14ac:dyDescent="0.25">
      <c r="C173" s="26"/>
      <c r="D173" s="116"/>
      <c r="E173" s="34"/>
      <c r="F173" s="109" t="str">
        <f t="shared" si="12"/>
        <v>-</v>
      </c>
      <c r="H173" s="120"/>
      <c r="I173" s="26"/>
      <c r="J173" s="102" t="str">
        <f>IFERROR(MIN('MP Calculations'!$E$29/I173,1),"-")</f>
        <v>-</v>
      </c>
      <c r="K173" s="37"/>
      <c r="L173" s="26"/>
      <c r="M173" s="26"/>
      <c r="N173" s="26"/>
      <c r="O173" s="96" t="str">
        <f t="shared" si="14"/>
        <v>-</v>
      </c>
      <c r="P173" s="98" t="str">
        <f t="shared" si="13"/>
        <v>-</v>
      </c>
    </row>
    <row r="174" spans="3:16" x14ac:dyDescent="0.25">
      <c r="C174" s="26"/>
      <c r="D174" s="116"/>
      <c r="E174" s="34"/>
      <c r="F174" s="109" t="str">
        <f t="shared" si="12"/>
        <v>-</v>
      </c>
      <c r="H174" s="120"/>
      <c r="I174" s="26"/>
      <c r="J174" s="102" t="str">
        <f>IFERROR(MIN('MP Calculations'!$E$29/I174,1),"-")</f>
        <v>-</v>
      </c>
      <c r="K174" s="37"/>
      <c r="L174" s="26"/>
      <c r="M174" s="26"/>
      <c r="N174" s="26"/>
      <c r="O174" s="96" t="str">
        <f t="shared" si="14"/>
        <v>-</v>
      </c>
      <c r="P174" s="98" t="str">
        <f t="shared" si="13"/>
        <v>-</v>
      </c>
    </row>
    <row r="175" spans="3:16" x14ac:dyDescent="0.25">
      <c r="C175" s="26"/>
      <c r="D175" s="116"/>
      <c r="E175" s="34"/>
      <c r="F175" s="109" t="str">
        <f t="shared" si="12"/>
        <v>-</v>
      </c>
      <c r="H175" s="120"/>
      <c r="I175" s="26"/>
      <c r="J175" s="102" t="str">
        <f>IFERROR(MIN('MP Calculations'!$E$29/I175,1),"-")</f>
        <v>-</v>
      </c>
      <c r="K175" s="37"/>
      <c r="L175" s="26"/>
      <c r="M175" s="26"/>
      <c r="N175" s="26"/>
      <c r="O175" s="96" t="str">
        <f t="shared" si="14"/>
        <v>-</v>
      </c>
      <c r="P175" s="98" t="str">
        <f t="shared" si="13"/>
        <v>-</v>
      </c>
    </row>
    <row r="176" spans="3:16" x14ac:dyDescent="0.25">
      <c r="C176" s="26"/>
      <c r="D176" s="116"/>
      <c r="E176" s="34"/>
      <c r="F176" s="109" t="str">
        <f t="shared" si="12"/>
        <v>-</v>
      </c>
      <c r="H176" s="120"/>
      <c r="I176" s="26"/>
      <c r="J176" s="102" t="str">
        <f>IFERROR(MIN('MP Calculations'!$E$29/I176,1),"-")</f>
        <v>-</v>
      </c>
      <c r="K176" s="37"/>
      <c r="L176" s="26"/>
      <c r="M176" s="26"/>
      <c r="N176" s="26"/>
      <c r="O176" s="96" t="str">
        <f t="shared" si="14"/>
        <v>-</v>
      </c>
      <c r="P176" s="98" t="str">
        <f t="shared" si="13"/>
        <v>-</v>
      </c>
    </row>
    <row r="177" spans="3:16" x14ac:dyDescent="0.25">
      <c r="C177" s="26"/>
      <c r="D177" s="116"/>
      <c r="E177" s="34"/>
      <c r="F177" s="109" t="str">
        <f t="shared" si="12"/>
        <v>-</v>
      </c>
      <c r="H177" s="120"/>
      <c r="I177" s="26"/>
      <c r="J177" s="102" t="str">
        <f>IFERROR(MIN('MP Calculations'!$E$29/I177,1),"-")</f>
        <v>-</v>
      </c>
      <c r="K177" s="37"/>
      <c r="L177" s="26"/>
      <c r="M177" s="26"/>
      <c r="N177" s="26"/>
      <c r="O177" s="96" t="str">
        <f t="shared" si="14"/>
        <v>-</v>
      </c>
      <c r="P177" s="98" t="str">
        <f t="shared" si="13"/>
        <v>-</v>
      </c>
    </row>
    <row r="178" spans="3:16" x14ac:dyDescent="0.25">
      <c r="C178" s="26"/>
      <c r="D178" s="116"/>
      <c r="E178" s="34"/>
      <c r="F178" s="109" t="str">
        <f t="shared" si="12"/>
        <v>-</v>
      </c>
      <c r="H178" s="120"/>
      <c r="I178" s="26"/>
      <c r="J178" s="102" t="str">
        <f>IFERROR(MIN('MP Calculations'!$E$29/I178,1),"-")</f>
        <v>-</v>
      </c>
      <c r="K178" s="37"/>
      <c r="L178" s="26"/>
      <c r="M178" s="26"/>
      <c r="N178" s="26"/>
      <c r="O178" s="96" t="str">
        <f t="shared" si="14"/>
        <v>-</v>
      </c>
      <c r="P178" s="98" t="str">
        <f t="shared" si="13"/>
        <v>-</v>
      </c>
    </row>
    <row r="179" spans="3:16" x14ac:dyDescent="0.25">
      <c r="C179" s="26"/>
      <c r="D179" s="116"/>
      <c r="E179" s="34"/>
      <c r="F179" s="109" t="str">
        <f t="shared" si="12"/>
        <v>-</v>
      </c>
      <c r="H179" s="120"/>
      <c r="I179" s="26"/>
      <c r="J179" s="102" t="str">
        <f>IFERROR(MIN('MP Calculations'!$E$29/I179,1),"-")</f>
        <v>-</v>
      </c>
      <c r="K179" s="37"/>
      <c r="L179" s="26"/>
      <c r="M179" s="26"/>
      <c r="N179" s="26"/>
      <c r="O179" s="96" t="str">
        <f t="shared" si="14"/>
        <v>-</v>
      </c>
      <c r="P179" s="98" t="str">
        <f t="shared" si="13"/>
        <v>-</v>
      </c>
    </row>
    <row r="180" spans="3:16" x14ac:dyDescent="0.25">
      <c r="C180" s="26"/>
      <c r="D180" s="116"/>
      <c r="E180" s="34"/>
      <c r="F180" s="109" t="str">
        <f t="shared" si="12"/>
        <v>-</v>
      </c>
      <c r="H180" s="120"/>
      <c r="I180" s="26"/>
      <c r="J180" s="102" t="str">
        <f>IFERROR(MIN('MP Calculations'!$E$29/I180,1),"-")</f>
        <v>-</v>
      </c>
      <c r="K180" s="37"/>
      <c r="L180" s="26"/>
      <c r="M180" s="26"/>
      <c r="N180" s="26"/>
      <c r="O180" s="96" t="str">
        <f t="shared" si="14"/>
        <v>-</v>
      </c>
      <c r="P180" s="98" t="str">
        <f t="shared" si="13"/>
        <v>-</v>
      </c>
    </row>
    <row r="181" spans="3:16" x14ac:dyDescent="0.25">
      <c r="C181" s="26"/>
      <c r="D181" s="116"/>
      <c r="E181" s="34"/>
      <c r="F181" s="109" t="str">
        <f t="shared" si="12"/>
        <v>-</v>
      </c>
      <c r="H181" s="120"/>
      <c r="I181" s="26"/>
      <c r="J181" s="102" t="str">
        <f>IFERROR(MIN('MP Calculations'!$E$29/I181,1),"-")</f>
        <v>-</v>
      </c>
      <c r="K181" s="37"/>
      <c r="L181" s="26"/>
      <c r="M181" s="26"/>
      <c r="N181" s="26"/>
      <c r="O181" s="96" t="str">
        <f t="shared" si="14"/>
        <v>-</v>
      </c>
      <c r="P181" s="98" t="str">
        <f t="shared" si="13"/>
        <v>-</v>
      </c>
    </row>
    <row r="182" spans="3:16" x14ac:dyDescent="0.25">
      <c r="C182" s="26"/>
      <c r="D182" s="116"/>
      <c r="E182" s="34"/>
      <c r="F182" s="109" t="str">
        <f t="shared" si="12"/>
        <v>-</v>
      </c>
      <c r="H182" s="120"/>
      <c r="I182" s="26"/>
      <c r="J182" s="102" t="str">
        <f>IFERROR(MIN('MP Calculations'!$E$29/I182,1),"-")</f>
        <v>-</v>
      </c>
      <c r="K182" s="37"/>
      <c r="L182" s="26"/>
      <c r="M182" s="26"/>
      <c r="N182" s="26"/>
      <c r="O182" s="96" t="str">
        <f t="shared" si="14"/>
        <v>-</v>
      </c>
      <c r="P182" s="98" t="str">
        <f t="shared" si="13"/>
        <v>-</v>
      </c>
    </row>
    <row r="183" spans="3:16" x14ac:dyDescent="0.25">
      <c r="C183" s="26"/>
      <c r="D183" s="116"/>
      <c r="E183" s="34"/>
      <c r="F183" s="109" t="str">
        <f t="shared" si="12"/>
        <v>-</v>
      </c>
      <c r="H183" s="120"/>
      <c r="I183" s="26"/>
      <c r="J183" s="102" t="str">
        <f>IFERROR(MIN('MP Calculations'!$E$29/I183,1),"-")</f>
        <v>-</v>
      </c>
      <c r="K183" s="37"/>
      <c r="L183" s="26"/>
      <c r="M183" s="26"/>
      <c r="N183" s="26"/>
      <c r="O183" s="96" t="str">
        <f t="shared" si="14"/>
        <v>-</v>
      </c>
      <c r="P183" s="98" t="str">
        <f t="shared" si="13"/>
        <v>-</v>
      </c>
    </row>
    <row r="184" spans="3:16" x14ac:dyDescent="0.25">
      <c r="C184" s="26"/>
      <c r="D184" s="116"/>
      <c r="E184" s="34"/>
      <c r="F184" s="109" t="str">
        <f t="shared" si="12"/>
        <v>-</v>
      </c>
      <c r="H184" s="120"/>
      <c r="I184" s="26"/>
      <c r="J184" s="102" t="str">
        <f>IFERROR(MIN('MP Calculations'!$E$29/I184,1),"-")</f>
        <v>-</v>
      </c>
      <c r="K184" s="37"/>
      <c r="L184" s="26"/>
      <c r="M184" s="26"/>
      <c r="N184" s="26"/>
      <c r="O184" s="96" t="str">
        <f t="shared" si="14"/>
        <v>-</v>
      </c>
      <c r="P184" s="98" t="str">
        <f t="shared" si="13"/>
        <v>-</v>
      </c>
    </row>
    <row r="185" spans="3:16" x14ac:dyDescent="0.25">
      <c r="C185" s="26"/>
      <c r="D185" s="116"/>
      <c r="E185" s="34"/>
      <c r="F185" s="109" t="str">
        <f t="shared" si="12"/>
        <v>-</v>
      </c>
      <c r="H185" s="120"/>
      <c r="I185" s="26"/>
      <c r="J185" s="102" t="str">
        <f>IFERROR(MIN('MP Calculations'!$E$29/I185,1),"-")</f>
        <v>-</v>
      </c>
      <c r="K185" s="37"/>
      <c r="L185" s="26"/>
      <c r="M185" s="26"/>
      <c r="N185" s="26"/>
      <c r="O185" s="96" t="str">
        <f t="shared" si="14"/>
        <v>-</v>
      </c>
      <c r="P185" s="98" t="str">
        <f t="shared" si="13"/>
        <v>-</v>
      </c>
    </row>
    <row r="186" spans="3:16" x14ac:dyDescent="0.25">
      <c r="C186" s="26"/>
      <c r="D186" s="116"/>
      <c r="E186" s="34"/>
      <c r="F186" s="109" t="str">
        <f t="shared" si="12"/>
        <v>-</v>
      </c>
      <c r="H186" s="120"/>
      <c r="I186" s="26"/>
      <c r="J186" s="102" t="str">
        <f>IFERROR(MIN('MP Calculations'!$E$29/I186,1),"-")</f>
        <v>-</v>
      </c>
      <c r="K186" s="37"/>
      <c r="L186" s="26"/>
      <c r="M186" s="26"/>
      <c r="N186" s="26"/>
      <c r="O186" s="96" t="str">
        <f t="shared" si="14"/>
        <v>-</v>
      </c>
      <c r="P186" s="98" t="str">
        <f t="shared" si="13"/>
        <v>-</v>
      </c>
    </row>
    <row r="187" spans="3:16" x14ac:dyDescent="0.25">
      <c r="C187" s="26"/>
      <c r="D187" s="116"/>
      <c r="E187" s="34"/>
      <c r="F187" s="109" t="str">
        <f t="shared" si="12"/>
        <v>-</v>
      </c>
      <c r="H187" s="120"/>
      <c r="I187" s="26"/>
      <c r="J187" s="102" t="str">
        <f>IFERROR(MIN('MP Calculations'!$E$29/I187,1),"-")</f>
        <v>-</v>
      </c>
      <c r="K187" s="37"/>
      <c r="L187" s="26"/>
      <c r="M187" s="26"/>
      <c r="N187" s="26"/>
      <c r="O187" s="96" t="str">
        <f t="shared" si="14"/>
        <v>-</v>
      </c>
      <c r="P187" s="98" t="str">
        <f t="shared" si="13"/>
        <v>-</v>
      </c>
    </row>
    <row r="188" spans="3:16" x14ac:dyDescent="0.25">
      <c r="C188" s="26"/>
      <c r="D188" s="116"/>
      <c r="E188" s="34"/>
      <c r="F188" s="109" t="str">
        <f t="shared" ref="F188:F221" si="15">IF(E188="","-",IF(OR(E188&lt;$E$15,E188&gt;$E$16),"ERROR - date outside of range",IF(MONTH(E188)&gt;=7,YEAR(E188)&amp;"-"&amp;IF(YEAR(E188)=1999,"00",IF(AND(YEAR(E188)&gt;=2000,YEAR(E188)&lt;2009),"0","")&amp;RIGHT(YEAR(E188),2)+1),RIGHT(YEAR(E188),4)-1&amp;"-"&amp;RIGHT(YEAR(E188),2))))</f>
        <v>-</v>
      </c>
      <c r="H188" s="120"/>
      <c r="I188" s="26"/>
      <c r="J188" s="102" t="str">
        <f>IFERROR(MIN('MP Calculations'!$E$29/I188,1),"-")</f>
        <v>-</v>
      </c>
      <c r="K188" s="37"/>
      <c r="L188" s="26"/>
      <c r="M188" s="26"/>
      <c r="N188" s="26"/>
      <c r="O188" s="96" t="str">
        <f t="shared" si="14"/>
        <v>-</v>
      </c>
      <c r="P188" s="98" t="str">
        <f t="shared" ref="P188:P221" si="16">IF(O188="-","-",IF(OR(E188&lt;$E$15,E188&gt;$E$16),0,O188*J188))</f>
        <v>-</v>
      </c>
    </row>
    <row r="189" spans="3:16" x14ac:dyDescent="0.25">
      <c r="C189" s="26"/>
      <c r="D189" s="116"/>
      <c r="E189" s="34"/>
      <c r="F189" s="109" t="str">
        <f t="shared" si="15"/>
        <v>-</v>
      </c>
      <c r="H189" s="120"/>
      <c r="I189" s="26"/>
      <c r="J189" s="102" t="str">
        <f>IFERROR(MIN('MP Calculations'!$E$29/I189,1),"-")</f>
        <v>-</v>
      </c>
      <c r="K189" s="37"/>
      <c r="L189" s="26"/>
      <c r="M189" s="26"/>
      <c r="N189" s="26"/>
      <c r="O189" s="96" t="str">
        <f t="shared" si="14"/>
        <v>-</v>
      </c>
      <c r="P189" s="98" t="str">
        <f t="shared" si="16"/>
        <v>-</v>
      </c>
    </row>
    <row r="190" spans="3:16" x14ac:dyDescent="0.25">
      <c r="C190" s="26"/>
      <c r="D190" s="116"/>
      <c r="E190" s="34"/>
      <c r="F190" s="109" t="str">
        <f t="shared" si="15"/>
        <v>-</v>
      </c>
      <c r="H190" s="120"/>
      <c r="I190" s="26"/>
      <c r="J190" s="102" t="str">
        <f>IFERROR(MIN('MP Calculations'!$E$29/I190,1),"-")</f>
        <v>-</v>
      </c>
      <c r="K190" s="37"/>
      <c r="L190" s="26"/>
      <c r="M190" s="26"/>
      <c r="N190" s="26"/>
      <c r="O190" s="96" t="str">
        <f t="shared" si="14"/>
        <v>-</v>
      </c>
      <c r="P190" s="98" t="str">
        <f t="shared" si="16"/>
        <v>-</v>
      </c>
    </row>
    <row r="191" spans="3:16" x14ac:dyDescent="0.25">
      <c r="C191" s="26"/>
      <c r="D191" s="116"/>
      <c r="E191" s="34"/>
      <c r="F191" s="109" t="str">
        <f t="shared" si="15"/>
        <v>-</v>
      </c>
      <c r="H191" s="120"/>
      <c r="I191" s="26"/>
      <c r="J191" s="102" t="str">
        <f>IFERROR(MIN('MP Calculations'!$E$29/I191,1),"-")</f>
        <v>-</v>
      </c>
      <c r="K191" s="37"/>
      <c r="L191" s="26"/>
      <c r="M191" s="26"/>
      <c r="N191" s="26"/>
      <c r="O191" s="96" t="str">
        <f t="shared" si="14"/>
        <v>-</v>
      </c>
      <c r="P191" s="98" t="str">
        <f t="shared" si="16"/>
        <v>-</v>
      </c>
    </row>
    <row r="192" spans="3:16" x14ac:dyDescent="0.25">
      <c r="C192" s="26"/>
      <c r="D192" s="116"/>
      <c r="E192" s="34"/>
      <c r="F192" s="109" t="str">
        <f t="shared" si="15"/>
        <v>-</v>
      </c>
      <c r="H192" s="120"/>
      <c r="I192" s="26"/>
      <c r="J192" s="102" t="str">
        <f>IFERROR(MIN('MP Calculations'!$E$29/I192,1),"-")</f>
        <v>-</v>
      </c>
      <c r="K192" s="37"/>
      <c r="L192" s="26"/>
      <c r="M192" s="26"/>
      <c r="N192" s="26"/>
      <c r="O192" s="96" t="str">
        <f t="shared" si="14"/>
        <v>-</v>
      </c>
      <c r="P192" s="98" t="str">
        <f t="shared" si="16"/>
        <v>-</v>
      </c>
    </row>
    <row r="193" spans="3:16" x14ac:dyDescent="0.25">
      <c r="C193" s="26"/>
      <c r="D193" s="116"/>
      <c r="E193" s="34"/>
      <c r="F193" s="109" t="str">
        <f t="shared" si="15"/>
        <v>-</v>
      </c>
      <c r="H193" s="120"/>
      <c r="I193" s="26"/>
      <c r="J193" s="102" t="str">
        <f>IFERROR(MIN('MP Calculations'!$E$29/I193,1),"-")</f>
        <v>-</v>
      </c>
      <c r="K193" s="37"/>
      <c r="L193" s="26"/>
      <c r="M193" s="26"/>
      <c r="N193" s="26"/>
      <c r="O193" s="96" t="str">
        <f t="shared" si="14"/>
        <v>-</v>
      </c>
      <c r="P193" s="98" t="str">
        <f t="shared" si="16"/>
        <v>-</v>
      </c>
    </row>
    <row r="194" spans="3:16" x14ac:dyDescent="0.25">
      <c r="C194" s="26"/>
      <c r="D194" s="116"/>
      <c r="E194" s="34"/>
      <c r="F194" s="109" t="str">
        <f t="shared" si="15"/>
        <v>-</v>
      </c>
      <c r="H194" s="120"/>
      <c r="I194" s="26"/>
      <c r="J194" s="102" t="str">
        <f>IFERROR(MIN('MP Calculations'!$E$29/I194,1),"-")</f>
        <v>-</v>
      </c>
      <c r="K194" s="37"/>
      <c r="L194" s="26"/>
      <c r="M194" s="26"/>
      <c r="N194" s="26"/>
      <c r="O194" s="96" t="str">
        <f t="shared" si="14"/>
        <v>-</v>
      </c>
      <c r="P194" s="98" t="str">
        <f t="shared" si="16"/>
        <v>-</v>
      </c>
    </row>
    <row r="195" spans="3:16" x14ac:dyDescent="0.25">
      <c r="C195" s="26"/>
      <c r="D195" s="116"/>
      <c r="E195" s="34"/>
      <c r="F195" s="109" t="str">
        <f t="shared" si="15"/>
        <v>-</v>
      </c>
      <c r="H195" s="120"/>
      <c r="I195" s="26"/>
      <c r="J195" s="102" t="str">
        <f>IFERROR(MIN('MP Calculations'!$E$29/I195,1),"-")</f>
        <v>-</v>
      </c>
      <c r="K195" s="37"/>
      <c r="L195" s="26"/>
      <c r="M195" s="26"/>
      <c r="N195" s="26"/>
      <c r="O195" s="96" t="str">
        <f t="shared" si="14"/>
        <v>-</v>
      </c>
      <c r="P195" s="98" t="str">
        <f t="shared" si="16"/>
        <v>-</v>
      </c>
    </row>
    <row r="196" spans="3:16" x14ac:dyDescent="0.25">
      <c r="C196" s="26"/>
      <c r="D196" s="116"/>
      <c r="E196" s="34"/>
      <c r="F196" s="109" t="str">
        <f t="shared" si="15"/>
        <v>-</v>
      </c>
      <c r="H196" s="120"/>
      <c r="I196" s="26"/>
      <c r="J196" s="102" t="str">
        <f>IFERROR(MIN('MP Calculations'!$E$29/I196,1),"-")</f>
        <v>-</v>
      </c>
      <c r="K196" s="37"/>
      <c r="L196" s="26"/>
      <c r="M196" s="26"/>
      <c r="N196" s="26"/>
      <c r="O196" s="96" t="str">
        <f t="shared" si="14"/>
        <v>-</v>
      </c>
      <c r="P196" s="98" t="str">
        <f t="shared" si="16"/>
        <v>-</v>
      </c>
    </row>
    <row r="197" spans="3:16" x14ac:dyDescent="0.25">
      <c r="C197" s="26"/>
      <c r="D197" s="116"/>
      <c r="E197" s="34"/>
      <c r="F197" s="109" t="str">
        <f t="shared" si="15"/>
        <v>-</v>
      </c>
      <c r="H197" s="120"/>
      <c r="I197" s="26"/>
      <c r="J197" s="102" t="str">
        <f>IFERROR(MIN('MP Calculations'!$E$29/I197,1),"-")</f>
        <v>-</v>
      </c>
      <c r="K197" s="37"/>
      <c r="L197" s="26"/>
      <c r="M197" s="26"/>
      <c r="N197" s="26"/>
      <c r="O197" s="96" t="str">
        <f t="shared" si="14"/>
        <v>-</v>
      </c>
      <c r="P197" s="98" t="str">
        <f t="shared" si="16"/>
        <v>-</v>
      </c>
    </row>
    <row r="198" spans="3:16" x14ac:dyDescent="0.25">
      <c r="C198" s="26"/>
      <c r="D198" s="116"/>
      <c r="E198" s="34"/>
      <c r="F198" s="109" t="str">
        <f t="shared" si="15"/>
        <v>-</v>
      </c>
      <c r="H198" s="120"/>
      <c r="I198" s="26"/>
      <c r="J198" s="102" t="str">
        <f>IFERROR(MIN('MP Calculations'!$E$29/I198,1),"-")</f>
        <v>-</v>
      </c>
      <c r="K198" s="37"/>
      <c r="L198" s="26"/>
      <c r="M198" s="26"/>
      <c r="N198" s="26"/>
      <c r="O198" s="96" t="str">
        <f t="shared" si="14"/>
        <v>-</v>
      </c>
      <c r="P198" s="98" t="str">
        <f t="shared" si="16"/>
        <v>-</v>
      </c>
    </row>
    <row r="199" spans="3:16" x14ac:dyDescent="0.25">
      <c r="C199" s="26"/>
      <c r="D199" s="116"/>
      <c r="E199" s="34"/>
      <c r="F199" s="109" t="str">
        <f t="shared" si="15"/>
        <v>-</v>
      </c>
      <c r="H199" s="120"/>
      <c r="I199" s="26"/>
      <c r="J199" s="102" t="str">
        <f>IFERROR(MIN('MP Calculations'!$E$29/I199,1),"-")</f>
        <v>-</v>
      </c>
      <c r="K199" s="37"/>
      <c r="L199" s="26"/>
      <c r="M199" s="26"/>
      <c r="N199" s="26"/>
      <c r="O199" s="96" t="str">
        <f t="shared" si="14"/>
        <v>-</v>
      </c>
      <c r="P199" s="98" t="str">
        <f t="shared" si="16"/>
        <v>-</v>
      </c>
    </row>
    <row r="200" spans="3:16" x14ac:dyDescent="0.25">
      <c r="C200" s="26"/>
      <c r="D200" s="116"/>
      <c r="E200" s="34"/>
      <c r="F200" s="109" t="str">
        <f t="shared" si="15"/>
        <v>-</v>
      </c>
      <c r="H200" s="120"/>
      <c r="I200" s="26"/>
      <c r="J200" s="102" t="str">
        <f>IFERROR(MIN('MP Calculations'!$E$29/I200,1),"-")</f>
        <v>-</v>
      </c>
      <c r="K200" s="37"/>
      <c r="L200" s="26"/>
      <c r="M200" s="26"/>
      <c r="N200" s="26"/>
      <c r="O200" s="96" t="str">
        <f t="shared" si="14"/>
        <v>-</v>
      </c>
      <c r="P200" s="98" t="str">
        <f t="shared" si="16"/>
        <v>-</v>
      </c>
    </row>
    <row r="201" spans="3:16" x14ac:dyDescent="0.25">
      <c r="C201" s="26"/>
      <c r="D201" s="116"/>
      <c r="E201" s="34"/>
      <c r="F201" s="109" t="str">
        <f t="shared" si="15"/>
        <v>-</v>
      </c>
      <c r="H201" s="120"/>
      <c r="I201" s="26"/>
      <c r="J201" s="102" t="str">
        <f>IFERROR(MIN('MP Calculations'!$E$29/I201,1),"-")</f>
        <v>-</v>
      </c>
      <c r="K201" s="37"/>
      <c r="L201" s="26"/>
      <c r="M201" s="26"/>
      <c r="N201" s="26"/>
      <c r="O201" s="96" t="str">
        <f t="shared" si="14"/>
        <v>-</v>
      </c>
      <c r="P201" s="98" t="str">
        <f t="shared" si="16"/>
        <v>-</v>
      </c>
    </row>
    <row r="202" spans="3:16" x14ac:dyDescent="0.25">
      <c r="C202" s="26"/>
      <c r="D202" s="116"/>
      <c r="E202" s="34"/>
      <c r="F202" s="109" t="str">
        <f t="shared" si="15"/>
        <v>-</v>
      </c>
      <c r="H202" s="120"/>
      <c r="I202" s="26"/>
      <c r="J202" s="102" t="str">
        <f>IFERROR(MIN('MP Calculations'!$E$29/I202,1),"-")</f>
        <v>-</v>
      </c>
      <c r="K202" s="37"/>
      <c r="L202" s="26"/>
      <c r="M202" s="26"/>
      <c r="N202" s="26"/>
      <c r="O202" s="96" t="str">
        <f t="shared" si="14"/>
        <v>-</v>
      </c>
      <c r="P202" s="98" t="str">
        <f t="shared" si="16"/>
        <v>-</v>
      </c>
    </row>
    <row r="203" spans="3:16" x14ac:dyDescent="0.25">
      <c r="C203" s="26"/>
      <c r="D203" s="116"/>
      <c r="E203" s="34"/>
      <c r="F203" s="109" t="str">
        <f t="shared" si="15"/>
        <v>-</v>
      </c>
      <c r="H203" s="120"/>
      <c r="I203" s="26"/>
      <c r="J203" s="102" t="str">
        <f>IFERROR(MIN('MP Calculations'!$E$29/I203,1),"-")</f>
        <v>-</v>
      </c>
      <c r="K203" s="37"/>
      <c r="L203" s="26"/>
      <c r="M203" s="26"/>
      <c r="N203" s="26"/>
      <c r="O203" s="96" t="str">
        <f t="shared" si="14"/>
        <v>-</v>
      </c>
      <c r="P203" s="98" t="str">
        <f t="shared" si="16"/>
        <v>-</v>
      </c>
    </row>
    <row r="204" spans="3:16" x14ac:dyDescent="0.25">
      <c r="C204" s="26"/>
      <c r="D204" s="116"/>
      <c r="E204" s="34"/>
      <c r="F204" s="109" t="str">
        <f t="shared" si="15"/>
        <v>-</v>
      </c>
      <c r="H204" s="120"/>
      <c r="I204" s="26"/>
      <c r="J204" s="102" t="str">
        <f>IFERROR(MIN('MP Calculations'!$E$29/I204,1),"-")</f>
        <v>-</v>
      </c>
      <c r="K204" s="37"/>
      <c r="L204" s="26"/>
      <c r="M204" s="26"/>
      <c r="N204" s="26"/>
      <c r="O204" s="96" t="str">
        <f t="shared" si="14"/>
        <v>-</v>
      </c>
      <c r="P204" s="98" t="str">
        <f t="shared" si="16"/>
        <v>-</v>
      </c>
    </row>
    <row r="205" spans="3:16" x14ac:dyDescent="0.25">
      <c r="C205" s="26"/>
      <c r="D205" s="116"/>
      <c r="E205" s="34"/>
      <c r="F205" s="109" t="str">
        <f t="shared" si="15"/>
        <v>-</v>
      </c>
      <c r="H205" s="120"/>
      <c r="I205" s="26"/>
      <c r="J205" s="102" t="str">
        <f>IFERROR(MIN('MP Calculations'!$E$29/I205,1),"-")</f>
        <v>-</v>
      </c>
      <c r="K205" s="37"/>
      <c r="L205" s="26"/>
      <c r="M205" s="26"/>
      <c r="N205" s="26"/>
      <c r="O205" s="96" t="str">
        <f t="shared" si="14"/>
        <v>-</v>
      </c>
      <c r="P205" s="98" t="str">
        <f t="shared" si="16"/>
        <v>-</v>
      </c>
    </row>
    <row r="206" spans="3:16" x14ac:dyDescent="0.25">
      <c r="C206" s="26"/>
      <c r="D206" s="116"/>
      <c r="E206" s="34"/>
      <c r="F206" s="109" t="str">
        <f t="shared" si="15"/>
        <v>-</v>
      </c>
      <c r="H206" s="120"/>
      <c r="I206" s="26"/>
      <c r="J206" s="102" t="str">
        <f>IFERROR(MIN('MP Calculations'!$E$29/I206,1),"-")</f>
        <v>-</v>
      </c>
      <c r="K206" s="37"/>
      <c r="L206" s="26"/>
      <c r="M206" s="26"/>
      <c r="N206" s="26"/>
      <c r="O206" s="96" t="str">
        <f t="shared" si="14"/>
        <v>-</v>
      </c>
      <c r="P206" s="98" t="str">
        <f t="shared" si="16"/>
        <v>-</v>
      </c>
    </row>
    <row r="207" spans="3:16" x14ac:dyDescent="0.25">
      <c r="C207" s="26"/>
      <c r="D207" s="116"/>
      <c r="E207" s="34"/>
      <c r="F207" s="109" t="str">
        <f t="shared" si="15"/>
        <v>-</v>
      </c>
      <c r="H207" s="120"/>
      <c r="I207" s="26"/>
      <c r="J207" s="102" t="str">
        <f>IFERROR(MIN('MP Calculations'!$E$29/I207,1),"-")</f>
        <v>-</v>
      </c>
      <c r="K207" s="37"/>
      <c r="L207" s="26"/>
      <c r="M207" s="26"/>
      <c r="N207" s="26"/>
      <c r="O207" s="96" t="str">
        <f t="shared" si="14"/>
        <v>-</v>
      </c>
      <c r="P207" s="98" t="str">
        <f t="shared" si="16"/>
        <v>-</v>
      </c>
    </row>
    <row r="208" spans="3:16" x14ac:dyDescent="0.25">
      <c r="C208" s="26"/>
      <c r="D208" s="116"/>
      <c r="E208" s="34"/>
      <c r="F208" s="109" t="str">
        <f t="shared" si="15"/>
        <v>-</v>
      </c>
      <c r="H208" s="120"/>
      <c r="I208" s="26"/>
      <c r="J208" s="102" t="str">
        <f>IFERROR(MIN('MP Calculations'!$E$29/I208,1),"-")</f>
        <v>-</v>
      </c>
      <c r="K208" s="37"/>
      <c r="L208" s="26"/>
      <c r="M208" s="26"/>
      <c r="N208" s="26"/>
      <c r="O208" s="96" t="str">
        <f t="shared" si="14"/>
        <v>-</v>
      </c>
      <c r="P208" s="98" t="str">
        <f t="shared" si="16"/>
        <v>-</v>
      </c>
    </row>
    <row r="209" spans="3:16" x14ac:dyDescent="0.25">
      <c r="C209" s="26"/>
      <c r="D209" s="116"/>
      <c r="E209" s="34"/>
      <c r="F209" s="109" t="str">
        <f t="shared" si="15"/>
        <v>-</v>
      </c>
      <c r="H209" s="120"/>
      <c r="I209" s="26"/>
      <c r="J209" s="102" t="str">
        <f>IFERROR(MIN('MP Calculations'!$E$29/I209,1),"-")</f>
        <v>-</v>
      </c>
      <c r="K209" s="37"/>
      <c r="L209" s="26"/>
      <c r="M209" s="26"/>
      <c r="N209" s="26"/>
      <c r="O209" s="96" t="str">
        <f t="shared" si="14"/>
        <v>-</v>
      </c>
      <c r="P209" s="98" t="str">
        <f t="shared" si="16"/>
        <v>-</v>
      </c>
    </row>
    <row r="210" spans="3:16" x14ac:dyDescent="0.25">
      <c r="C210" s="26"/>
      <c r="D210" s="116"/>
      <c r="E210" s="34"/>
      <c r="F210" s="109" t="str">
        <f t="shared" si="15"/>
        <v>-</v>
      </c>
      <c r="H210" s="120"/>
      <c r="I210" s="26"/>
      <c r="J210" s="102" t="str">
        <f>IFERROR(MIN('MP Calculations'!$E$29/I210,1),"-")</f>
        <v>-</v>
      </c>
      <c r="K210" s="37"/>
      <c r="L210" s="26"/>
      <c r="M210" s="26"/>
      <c r="N210" s="26"/>
      <c r="O210" s="96" t="str">
        <f t="shared" si="14"/>
        <v>-</v>
      </c>
      <c r="P210" s="98" t="str">
        <f t="shared" si="16"/>
        <v>-</v>
      </c>
    </row>
    <row r="211" spans="3:16" x14ac:dyDescent="0.25">
      <c r="C211" s="26"/>
      <c r="D211" s="116"/>
      <c r="E211" s="34"/>
      <c r="F211" s="109" t="str">
        <f t="shared" si="15"/>
        <v>-</v>
      </c>
      <c r="H211" s="120"/>
      <c r="I211" s="26"/>
      <c r="J211" s="102" t="str">
        <f>IFERROR(MIN('MP Calculations'!$E$29/I211,1),"-")</f>
        <v>-</v>
      </c>
      <c r="K211" s="37"/>
      <c r="L211" s="26"/>
      <c r="M211" s="26"/>
      <c r="N211" s="26"/>
      <c r="O211" s="96" t="str">
        <f t="shared" si="14"/>
        <v>-</v>
      </c>
      <c r="P211" s="98" t="str">
        <f t="shared" si="16"/>
        <v>-</v>
      </c>
    </row>
    <row r="212" spans="3:16" x14ac:dyDescent="0.25">
      <c r="C212" s="26"/>
      <c r="D212" s="116"/>
      <c r="E212" s="34"/>
      <c r="F212" s="109" t="str">
        <f t="shared" si="15"/>
        <v>-</v>
      </c>
      <c r="H212" s="120"/>
      <c r="I212" s="26"/>
      <c r="J212" s="102" t="str">
        <f>IFERROR(MIN('MP Calculations'!$E$29/I212,1),"-")</f>
        <v>-</v>
      </c>
      <c r="K212" s="37"/>
      <c r="L212" s="26"/>
      <c r="M212" s="26"/>
      <c r="N212" s="26"/>
      <c r="O212" s="96" t="str">
        <f t="shared" si="14"/>
        <v>-</v>
      </c>
      <c r="P212" s="98" t="str">
        <f t="shared" si="16"/>
        <v>-</v>
      </c>
    </row>
    <row r="213" spans="3:16" x14ac:dyDescent="0.25">
      <c r="C213" s="26"/>
      <c r="D213" s="116"/>
      <c r="E213" s="34"/>
      <c r="F213" s="109" t="str">
        <f t="shared" si="15"/>
        <v>-</v>
      </c>
      <c r="H213" s="120"/>
      <c r="I213" s="26"/>
      <c r="J213" s="102" t="str">
        <f>IFERROR(MIN('MP Calculations'!$E$29/I213,1),"-")</f>
        <v>-</v>
      </c>
      <c r="K213" s="37"/>
      <c r="L213" s="26"/>
      <c r="M213" s="26"/>
      <c r="N213" s="26"/>
      <c r="O213" s="96" t="str">
        <f t="shared" si="14"/>
        <v>-</v>
      </c>
      <c r="P213" s="98" t="str">
        <f t="shared" si="16"/>
        <v>-</v>
      </c>
    </row>
    <row r="214" spans="3:16" x14ac:dyDescent="0.25">
      <c r="C214" s="26"/>
      <c r="D214" s="116"/>
      <c r="E214" s="34"/>
      <c r="F214" s="109" t="str">
        <f t="shared" si="15"/>
        <v>-</v>
      </c>
      <c r="H214" s="120"/>
      <c r="I214" s="26"/>
      <c r="J214" s="102" t="str">
        <f>IFERROR(MIN('MP Calculations'!$E$29/I214,1),"-")</f>
        <v>-</v>
      </c>
      <c r="K214" s="37"/>
      <c r="L214" s="26"/>
      <c r="M214" s="26"/>
      <c r="N214" s="26"/>
      <c r="O214" s="96" t="str">
        <f t="shared" si="14"/>
        <v>-</v>
      </c>
      <c r="P214" s="98" t="str">
        <f t="shared" si="16"/>
        <v>-</v>
      </c>
    </row>
    <row r="215" spans="3:16" x14ac:dyDescent="0.25">
      <c r="C215" s="26"/>
      <c r="D215" s="116"/>
      <c r="E215" s="34"/>
      <c r="F215" s="109" t="str">
        <f t="shared" si="15"/>
        <v>-</v>
      </c>
      <c r="H215" s="120"/>
      <c r="I215" s="26"/>
      <c r="J215" s="102" t="str">
        <f>IFERROR(MIN('MP Calculations'!$E$29/I215,1),"-")</f>
        <v>-</v>
      </c>
      <c r="K215" s="37"/>
      <c r="L215" s="26"/>
      <c r="M215" s="26"/>
      <c r="N215" s="26"/>
      <c r="O215" s="96" t="str">
        <f t="shared" si="14"/>
        <v>-</v>
      </c>
      <c r="P215" s="98" t="str">
        <f t="shared" si="16"/>
        <v>-</v>
      </c>
    </row>
    <row r="216" spans="3:16" x14ac:dyDescent="0.25">
      <c r="C216" s="26"/>
      <c r="D216" s="116"/>
      <c r="E216" s="34"/>
      <c r="F216" s="109" t="str">
        <f t="shared" si="15"/>
        <v>-</v>
      </c>
      <c r="H216" s="120"/>
      <c r="I216" s="26"/>
      <c r="J216" s="102" t="str">
        <f>IFERROR(MIN('MP Calculations'!$E$29/I216,1),"-")</f>
        <v>-</v>
      </c>
      <c r="K216" s="37"/>
      <c r="L216" s="26"/>
      <c r="M216" s="26"/>
      <c r="N216" s="26"/>
      <c r="O216" s="96" t="str">
        <f t="shared" si="14"/>
        <v>-</v>
      </c>
      <c r="P216" s="98" t="str">
        <f t="shared" si="16"/>
        <v>-</v>
      </c>
    </row>
    <row r="217" spans="3:16" x14ac:dyDescent="0.25">
      <c r="C217" s="26"/>
      <c r="D217" s="116"/>
      <c r="E217" s="34"/>
      <c r="F217" s="109" t="str">
        <f t="shared" si="15"/>
        <v>-</v>
      </c>
      <c r="H217" s="120"/>
      <c r="I217" s="26"/>
      <c r="J217" s="102" t="str">
        <f>IFERROR(MIN('MP Calculations'!$E$29/I217,1),"-")</f>
        <v>-</v>
      </c>
      <c r="K217" s="37"/>
      <c r="L217" s="26"/>
      <c r="M217" s="26"/>
      <c r="N217" s="26"/>
      <c r="O217" s="96" t="str">
        <f t="shared" si="14"/>
        <v>-</v>
      </c>
      <c r="P217" s="98" t="str">
        <f t="shared" si="16"/>
        <v>-</v>
      </c>
    </row>
    <row r="218" spans="3:16" x14ac:dyDescent="0.25">
      <c r="C218" s="26"/>
      <c r="D218" s="116"/>
      <c r="E218" s="34"/>
      <c r="F218" s="109" t="str">
        <f t="shared" si="15"/>
        <v>-</v>
      </c>
      <c r="H218" s="120"/>
      <c r="I218" s="26"/>
      <c r="J218" s="102" t="str">
        <f>IFERROR(MIN('MP Calculations'!$E$29/I218,1),"-")</f>
        <v>-</v>
      </c>
      <c r="K218" s="37"/>
      <c r="L218" s="26"/>
      <c r="M218" s="26"/>
      <c r="N218" s="26"/>
      <c r="O218" s="96" t="str">
        <f t="shared" si="14"/>
        <v>-</v>
      </c>
      <c r="P218" s="98" t="str">
        <f t="shared" si="16"/>
        <v>-</v>
      </c>
    </row>
    <row r="219" spans="3:16" x14ac:dyDescent="0.25">
      <c r="C219" s="26"/>
      <c r="D219" s="116"/>
      <c r="E219" s="34"/>
      <c r="F219" s="109" t="str">
        <f t="shared" si="15"/>
        <v>-</v>
      </c>
      <c r="H219" s="120"/>
      <c r="I219" s="26"/>
      <c r="J219" s="102" t="str">
        <f>IFERROR(MIN('MP Calculations'!$E$29/I219,1),"-")</f>
        <v>-</v>
      </c>
      <c r="K219" s="37"/>
      <c r="L219" s="26"/>
      <c r="M219" s="26"/>
      <c r="N219" s="26"/>
      <c r="O219" s="96" t="str">
        <f t="shared" ref="O219:O222" si="17">IF(N219="","-",L219*N219)</f>
        <v>-</v>
      </c>
      <c r="P219" s="98" t="str">
        <f t="shared" si="16"/>
        <v>-</v>
      </c>
    </row>
    <row r="220" spans="3:16" x14ac:dyDescent="0.25">
      <c r="C220" s="26"/>
      <c r="D220" s="116"/>
      <c r="E220" s="34"/>
      <c r="F220" s="109" t="str">
        <f t="shared" si="15"/>
        <v>-</v>
      </c>
      <c r="H220" s="120"/>
      <c r="I220" s="26"/>
      <c r="J220" s="102" t="str">
        <f>IFERROR(MIN('MP Calculations'!$E$29/I220,1),"-")</f>
        <v>-</v>
      </c>
      <c r="K220" s="37"/>
      <c r="L220" s="26"/>
      <c r="M220" s="26"/>
      <c r="N220" s="26"/>
      <c r="O220" s="96" t="str">
        <f t="shared" si="17"/>
        <v>-</v>
      </c>
      <c r="P220" s="98" t="str">
        <f t="shared" si="16"/>
        <v>-</v>
      </c>
    </row>
    <row r="221" spans="3:16" x14ac:dyDescent="0.25">
      <c r="C221" s="26"/>
      <c r="D221" s="116"/>
      <c r="E221" s="34"/>
      <c r="F221" s="109" t="str">
        <f t="shared" si="15"/>
        <v>-</v>
      </c>
      <c r="H221" s="120"/>
      <c r="I221" s="26"/>
      <c r="J221" s="102" t="str">
        <f>IFERROR(MIN('MP Calculations'!$E$29/I221,1),"-")</f>
        <v>-</v>
      </c>
      <c r="K221" s="37"/>
      <c r="L221" s="26"/>
      <c r="M221" s="26"/>
      <c r="N221" s="26"/>
      <c r="O221" s="96" t="str">
        <f t="shared" si="17"/>
        <v>-</v>
      </c>
      <c r="P221" s="98" t="str">
        <f t="shared" si="16"/>
        <v>-</v>
      </c>
    </row>
    <row r="222" spans="3:16" ht="57.5" x14ac:dyDescent="0.25">
      <c r="C222" s="30"/>
      <c r="D222" s="134"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22" s="136"/>
      <c r="F222" s="94" t="str">
        <f t="shared" si="11"/>
        <v>-</v>
      </c>
      <c r="H222" s="118"/>
      <c r="I222" s="40"/>
      <c r="J222" s="122" t="str">
        <f>IFERROR(MIN('MP Calculations'!$E$29/I222,1),"-")</f>
        <v>-</v>
      </c>
      <c r="L222" s="31"/>
      <c r="M222" s="31"/>
      <c r="N222" s="31"/>
      <c r="O222" s="123" t="str">
        <f t="shared" si="17"/>
        <v>-</v>
      </c>
      <c r="P222" s="99" t="str">
        <f t="shared" si="10"/>
        <v>-</v>
      </c>
    </row>
    <row r="223" spans="3:16" x14ac:dyDescent="0.25">
      <c r="D223" s="121"/>
    </row>
  </sheetData>
  <conditionalFormatting sqref="F22:F222">
    <cfRule type="containsText" dxfId="5" priority="4" operator="containsText" text="ERROR">
      <formula>NOT(ISERROR(SEARCH("ERROR",F22)))</formula>
    </cfRule>
  </conditionalFormatting>
  <conditionalFormatting sqref="J22:J222">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C1:R218"/>
  <sheetViews>
    <sheetView showGridLines="0" workbookViewId="0">
      <pane ySplit="21" topLeftCell="A22" activePane="bottomLeft" state="frozen"/>
      <selection activeCell="A22" sqref="A22"/>
      <selection pane="bottomLeft" activeCell="N24" sqref="N24:N50"/>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6" hidden="1" x14ac:dyDescent="0.25">
      <c r="E1" s="32"/>
    </row>
    <row r="2" spans="3:6" hidden="1" x14ac:dyDescent="0.25">
      <c r="E2" s="32"/>
      <c r="F2" s="32"/>
    </row>
    <row r="3" spans="3:6" ht="20" hidden="1" x14ac:dyDescent="0.4">
      <c r="C3" s="59" t="s">
        <v>272</v>
      </c>
    </row>
    <row r="4" spans="3:6" hidden="1" x14ac:dyDescent="0.25"/>
    <row r="5" spans="3:6" hidden="1" x14ac:dyDescent="0.25"/>
    <row r="6" spans="3:6" ht="12" hidden="1" customHeight="1" x14ac:dyDescent="0.25">
      <c r="C6" s="110"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6" hidden="1" x14ac:dyDescent="0.25">
      <c r="C7" s="133" t="str">
        <f ca="1">"Hyperlink to the '"&amp;MID(CELL("filename",'Asset exclusions'!A1),FIND("]",CELL("filename",'Asset exclusions'!A1))+1,255)&amp;"' worksheet:"</f>
        <v>Hyperlink to the 'Asset exclusions' worksheet:</v>
      </c>
      <c r="E7" s="168" t="s">
        <v>170</v>
      </c>
    </row>
    <row r="8" spans="3:6" hidden="1" x14ac:dyDescent="0.25">
      <c r="C8" s="133"/>
      <c r="E8" s="168"/>
    </row>
    <row r="9" spans="3:6" hidden="1" x14ac:dyDescent="0.25">
      <c r="C9" s="133" t="s">
        <v>171</v>
      </c>
      <c r="E9" s="168"/>
    </row>
    <row r="10" spans="3:6" hidden="1" x14ac:dyDescent="0.25">
      <c r="C10" s="133" t="s">
        <v>172</v>
      </c>
      <c r="E10" s="168"/>
    </row>
    <row r="11" spans="3:6" hidden="1" x14ac:dyDescent="0.25">
      <c r="C11" s="133" t="s">
        <v>173</v>
      </c>
      <c r="E11" s="168"/>
    </row>
    <row r="12" spans="3:6" hidden="1" x14ac:dyDescent="0.25">
      <c r="C12" s="133" t="s">
        <v>174</v>
      </c>
      <c r="E12" s="168"/>
    </row>
    <row r="14" spans="3:6" x14ac:dyDescent="0.25">
      <c r="C14" s="6" t="s">
        <v>175</v>
      </c>
    </row>
    <row r="15" spans="3:6" x14ac:dyDescent="0.25">
      <c r="C15" s="66" t="s">
        <v>176</v>
      </c>
      <c r="E15" s="104">
        <f>'General inputs'!$H$18+1</f>
        <v>45474</v>
      </c>
    </row>
    <row r="16" spans="3:6" x14ac:dyDescent="0.25">
      <c r="C16" s="66"/>
    </row>
    <row r="18" spans="3:18" ht="15.5" x14ac:dyDescent="0.35">
      <c r="C18" s="2" t="s">
        <v>273</v>
      </c>
    </row>
    <row r="20" spans="3:18" x14ac:dyDescent="0.25">
      <c r="C20" s="6" t="s">
        <v>179</v>
      </c>
      <c r="H20" s="6" t="s">
        <v>180</v>
      </c>
      <c r="L20" s="6" t="s">
        <v>181</v>
      </c>
      <c r="M20" s="6"/>
    </row>
    <row r="21" spans="3:18" ht="46" x14ac:dyDescent="0.25">
      <c r="C21" s="24" t="s">
        <v>182</v>
      </c>
      <c r="D21" s="24" t="s">
        <v>183</v>
      </c>
      <c r="E21" s="24" t="s">
        <v>184</v>
      </c>
      <c r="F21" s="24" t="s">
        <v>253</v>
      </c>
      <c r="H21" s="24" t="s">
        <v>186</v>
      </c>
      <c r="I21" s="24" t="s">
        <v>187</v>
      </c>
      <c r="J21" s="24" t="s">
        <v>188</v>
      </c>
      <c r="L21" s="24" t="s">
        <v>189</v>
      </c>
      <c r="M21" s="24" t="s">
        <v>190</v>
      </c>
      <c r="N21" s="24" t="str">
        <f>"MEERA value per unit/measure of length (B) 
("&amp;'General inputs'!$H$42&amp;" as at 1 July "&amp;LEFT('General inputs'!$I$40,4)&amp;")"</f>
        <v>MEERA value per unit/measure of length (B) 
($ as at 1 July 2024)</v>
      </c>
      <c r="O21" s="24" t="str">
        <f>"Total MEERA value (A x B)
("&amp;'General inputs'!$H$42&amp;", $"&amp;'General inputs'!$I$40&amp;")"</f>
        <v>Total MEERA value (A x B)
($, $2024-25)</v>
      </c>
      <c r="P21" s="24" t="str">
        <f>"MEERA value to be recovered via DSP ("&amp;'General inputs'!$H$42&amp;", $"&amp;'General inputs'!$I$40&amp;")"</f>
        <v>MEERA value to be recovered via DSP ($, $2024-25)</v>
      </c>
    </row>
    <row r="22" spans="3:18" ht="12" customHeight="1" x14ac:dyDescent="0.25">
      <c r="C22" s="202" t="s">
        <v>274</v>
      </c>
      <c r="D22" s="115" t="s">
        <v>275</v>
      </c>
      <c r="E22" s="33">
        <v>47300</v>
      </c>
      <c r="F22" s="92" t="str">
        <f>IF(E22="","-",IF(E22&lt;$E$15,"ERROR - date outside of range",IF(MONTH(E22)&gt;=7,YEAR(E22)&amp;"-"&amp;RIGHT(YEAR(E22),2)+1,YEAR(E22)-1&amp;"-"&amp;RIGHT(YEAR(E22),2))))</f>
        <v>2029-30</v>
      </c>
      <c r="H22" s="119" t="s">
        <v>193</v>
      </c>
      <c r="I22" s="26">
        <v>160175</v>
      </c>
      <c r="J22" s="101">
        <f>IFERROR(MIN('MP Calculations'!$E$29/I22,1),"-")</f>
        <v>0.50792864054939912</v>
      </c>
      <c r="K22" s="37"/>
      <c r="L22" s="25">
        <v>1</v>
      </c>
      <c r="M22" s="25"/>
      <c r="N22" s="26">
        <v>12535131.34</v>
      </c>
      <c r="O22" s="95">
        <f>IF(N22="","-",L22*N22)</f>
        <v>12535131.34</v>
      </c>
      <c r="P22" s="97">
        <f>IF(O22="-","-",IF(E22&lt;$E$15,0,O22*J22))</f>
        <v>6366952.2206343673</v>
      </c>
    </row>
    <row r="23" spans="3:18" x14ac:dyDescent="0.25">
      <c r="C23" s="26"/>
      <c r="D23" s="116"/>
      <c r="E23" s="34"/>
      <c r="F23" s="93" t="str">
        <f t="shared" ref="F23:F86" si="0">IF(E23="","-",IF(E23&lt;$E$15,"ERROR - date outside of range",IF(MONTH(E23)&gt;=7,YEAR(E23)&amp;"-"&amp;RIGHT(YEAR(E23),2)+1,YEAR(E23)-1&amp;"-"&amp;RIGHT(YEAR(E23),2))))</f>
        <v>-</v>
      </c>
      <c r="H23" s="120"/>
      <c r="I23" s="26"/>
      <c r="J23" s="102" t="str">
        <f>IFERROR(MIN('MP Calculations'!$E$29/I23,1),"-")</f>
        <v>-</v>
      </c>
      <c r="K23" s="37"/>
      <c r="L23" s="26"/>
      <c r="M23" s="26"/>
      <c r="N23" s="26"/>
      <c r="O23" s="96" t="str">
        <f t="shared" ref="O23:O86" si="1">IF(N23="","-",L23*N23)</f>
        <v>-</v>
      </c>
      <c r="P23" s="98" t="str">
        <f t="shared" ref="P23:P86" si="2">IF(O23="-","-",IF(E23&lt;$E$15,0,O23*J23))</f>
        <v>-</v>
      </c>
      <c r="R23" s="103"/>
    </row>
    <row r="24" spans="3:18" ht="23" x14ac:dyDescent="0.25">
      <c r="C24" s="203" t="s">
        <v>276</v>
      </c>
      <c r="D24" s="116" t="s">
        <v>277</v>
      </c>
      <c r="E24" s="34">
        <v>47665</v>
      </c>
      <c r="F24" s="93" t="str">
        <f t="shared" si="0"/>
        <v>2030-31</v>
      </c>
      <c r="H24" s="117" t="s">
        <v>193</v>
      </c>
      <c r="I24" s="26">
        <v>160175</v>
      </c>
      <c r="J24" s="102">
        <f>IFERROR(MIN('MP Calculations'!$E$29/I24,1),"-")</f>
        <v>0.50792864054939912</v>
      </c>
      <c r="K24" s="37"/>
      <c r="L24" s="26">
        <v>1</v>
      </c>
      <c r="M24" s="26"/>
      <c r="N24" s="26">
        <v>298019.64</v>
      </c>
      <c r="O24" s="96">
        <f t="shared" si="1"/>
        <v>298019.64</v>
      </c>
      <c r="P24" s="98">
        <f t="shared" si="2"/>
        <v>151372.71060222134</v>
      </c>
    </row>
    <row r="25" spans="3:18" ht="23" x14ac:dyDescent="0.25">
      <c r="C25" s="26"/>
      <c r="D25" s="116" t="s">
        <v>278</v>
      </c>
      <c r="E25" s="34">
        <v>47665</v>
      </c>
      <c r="F25" s="93" t="str">
        <f t="shared" si="0"/>
        <v>2030-31</v>
      </c>
      <c r="H25" s="117" t="s">
        <v>193</v>
      </c>
      <c r="I25" s="26">
        <v>160175</v>
      </c>
      <c r="J25" s="102">
        <f>IFERROR(MIN('MP Calculations'!$E$29/I25,1),"-")</f>
        <v>0.50792864054939912</v>
      </c>
      <c r="K25" s="37"/>
      <c r="L25" s="26">
        <v>1</v>
      </c>
      <c r="M25" s="26"/>
      <c r="N25" s="26">
        <v>339503.97</v>
      </c>
      <c r="O25" s="96">
        <f t="shared" si="1"/>
        <v>339503.97</v>
      </c>
      <c r="P25" s="98">
        <f t="shared" si="2"/>
        <v>172443.78994322396</v>
      </c>
    </row>
    <row r="26" spans="3:18" x14ac:dyDescent="0.25">
      <c r="C26" s="26"/>
      <c r="D26" s="116" t="s">
        <v>279</v>
      </c>
      <c r="E26" s="34">
        <v>47665</v>
      </c>
      <c r="F26" s="93" t="str">
        <f t="shared" si="0"/>
        <v>2030-31</v>
      </c>
      <c r="H26" s="117" t="s">
        <v>193</v>
      </c>
      <c r="I26" s="26">
        <v>160175</v>
      </c>
      <c r="J26" s="102">
        <f>IFERROR(MIN('MP Calculations'!$E$29/I26,1),"-")</f>
        <v>0.50792864054939912</v>
      </c>
      <c r="K26" s="37"/>
      <c r="L26" s="26">
        <v>1</v>
      </c>
      <c r="M26" s="26"/>
      <c r="N26" s="26">
        <v>100134.6</v>
      </c>
      <c r="O26" s="96">
        <f t="shared" si="1"/>
        <v>100134.6</v>
      </c>
      <c r="P26" s="98">
        <f t="shared" si="2"/>
        <v>50861.231249957862</v>
      </c>
    </row>
    <row r="27" spans="3:18" x14ac:dyDescent="0.25">
      <c r="C27" s="26"/>
      <c r="D27" s="116" t="s">
        <v>280</v>
      </c>
      <c r="E27" s="34">
        <v>46204</v>
      </c>
      <c r="F27" s="93" t="str">
        <f t="shared" si="0"/>
        <v>2026-27</v>
      </c>
      <c r="H27" s="117" t="s">
        <v>193</v>
      </c>
      <c r="I27" s="26">
        <v>160175</v>
      </c>
      <c r="J27" s="102">
        <f>IFERROR(MIN('MP Calculations'!$E$29/I27,1),"-")</f>
        <v>0.50792864054939912</v>
      </c>
      <c r="K27" s="37"/>
      <c r="L27" s="26">
        <v>1</v>
      </c>
      <c r="M27" s="26"/>
      <c r="N27" s="26">
        <v>95366.28</v>
      </c>
      <c r="O27" s="96">
        <f t="shared" si="1"/>
        <v>95366.28</v>
      </c>
      <c r="P27" s="98">
        <f t="shared" si="2"/>
        <v>48439.26495465335</v>
      </c>
    </row>
    <row r="28" spans="3:18" x14ac:dyDescent="0.25">
      <c r="C28" s="26"/>
      <c r="D28" s="116" t="s">
        <v>281</v>
      </c>
      <c r="E28" s="34">
        <v>47665</v>
      </c>
      <c r="F28" s="93" t="str">
        <f t="shared" si="0"/>
        <v>2030-31</v>
      </c>
      <c r="H28" s="117" t="s">
        <v>193</v>
      </c>
      <c r="I28" s="26">
        <v>160175</v>
      </c>
      <c r="J28" s="102">
        <f>IFERROR(MIN('MP Calculations'!$E$29/I28,1),"-")</f>
        <v>0.50792864054939912</v>
      </c>
      <c r="K28" s="37"/>
      <c r="L28" s="26">
        <v>1</v>
      </c>
      <c r="M28" s="26"/>
      <c r="N28" s="26">
        <v>57219.77</v>
      </c>
      <c r="O28" s="96">
        <f t="shared" si="1"/>
        <v>57219.77</v>
      </c>
      <c r="P28" s="98">
        <f t="shared" si="2"/>
        <v>29063.559988649289</v>
      </c>
    </row>
    <row r="29" spans="3:18" x14ac:dyDescent="0.25">
      <c r="C29" s="26"/>
      <c r="D29" s="116" t="s">
        <v>282</v>
      </c>
      <c r="E29" s="34">
        <v>47665</v>
      </c>
      <c r="F29" s="93" t="str">
        <f t="shared" si="0"/>
        <v>2030-31</v>
      </c>
      <c r="H29" s="117" t="s">
        <v>193</v>
      </c>
      <c r="I29" s="26">
        <v>160175</v>
      </c>
      <c r="J29" s="102">
        <f>IFERROR(MIN('MP Calculations'!$E$29/I29,1),"-")</f>
        <v>0.50792864054939912</v>
      </c>
      <c r="K29" s="37"/>
      <c r="L29" s="26">
        <v>1</v>
      </c>
      <c r="M29" s="26"/>
      <c r="N29" s="26">
        <v>95366.28</v>
      </c>
      <c r="O29" s="96">
        <f t="shared" si="1"/>
        <v>95366.28</v>
      </c>
      <c r="P29" s="98">
        <f t="shared" si="2"/>
        <v>48439.26495465335</v>
      </c>
    </row>
    <row r="30" spans="3:18" x14ac:dyDescent="0.25">
      <c r="C30" s="26"/>
      <c r="D30" s="116" t="s">
        <v>283</v>
      </c>
      <c r="E30" s="34">
        <v>47665</v>
      </c>
      <c r="F30" s="93" t="str">
        <f t="shared" si="0"/>
        <v>2030-31</v>
      </c>
      <c r="H30" s="117" t="s">
        <v>193</v>
      </c>
      <c r="I30" s="26">
        <v>160175</v>
      </c>
      <c r="J30" s="102">
        <f>IFERROR(MIN('MP Calculations'!$E$29/I30,1),"-")</f>
        <v>0.50792864054939912</v>
      </c>
      <c r="K30" s="37"/>
      <c r="L30" s="26">
        <v>1</v>
      </c>
      <c r="M30" s="26"/>
      <c r="N30" s="26">
        <v>57219.77</v>
      </c>
      <c r="O30" s="96">
        <f t="shared" si="1"/>
        <v>57219.77</v>
      </c>
      <c r="P30" s="98">
        <f t="shared" si="2"/>
        <v>29063.559988649289</v>
      </c>
    </row>
    <row r="31" spans="3:18" x14ac:dyDescent="0.25">
      <c r="C31" s="26"/>
      <c r="D31" s="116" t="s">
        <v>284</v>
      </c>
      <c r="E31" s="34">
        <v>47665</v>
      </c>
      <c r="F31" s="93" t="str">
        <f t="shared" si="0"/>
        <v>2030-31</v>
      </c>
      <c r="H31" s="117" t="s">
        <v>193</v>
      </c>
      <c r="I31" s="26">
        <v>160175</v>
      </c>
      <c r="J31" s="102">
        <f>IFERROR(MIN('MP Calculations'!$E$29/I31,1),"-")</f>
        <v>0.50792864054939912</v>
      </c>
      <c r="K31" s="37"/>
      <c r="L31" s="26">
        <v>1</v>
      </c>
      <c r="M31" s="26"/>
      <c r="N31" s="26">
        <v>95366.28</v>
      </c>
      <c r="O31" s="96">
        <f t="shared" si="1"/>
        <v>95366.28</v>
      </c>
      <c r="P31" s="98">
        <f t="shared" si="2"/>
        <v>48439.26495465335</v>
      </c>
    </row>
    <row r="32" spans="3:18" x14ac:dyDescent="0.25">
      <c r="C32" s="26"/>
      <c r="D32" s="116" t="s">
        <v>285</v>
      </c>
      <c r="E32" s="34">
        <v>47665</v>
      </c>
      <c r="F32" s="93" t="str">
        <f t="shared" si="0"/>
        <v>2030-31</v>
      </c>
      <c r="H32" s="117" t="s">
        <v>193</v>
      </c>
      <c r="I32" s="26">
        <v>160175</v>
      </c>
      <c r="J32" s="102">
        <f>IFERROR(MIN('MP Calculations'!$E$29/I32,1),"-")</f>
        <v>0.50792864054939912</v>
      </c>
      <c r="K32" s="37"/>
      <c r="L32" s="26">
        <v>1</v>
      </c>
      <c r="M32" s="26"/>
      <c r="N32" s="26">
        <v>352855.25</v>
      </c>
      <c r="O32" s="96">
        <f t="shared" si="1"/>
        <v>352855.25</v>
      </c>
      <c r="P32" s="98">
        <f t="shared" si="2"/>
        <v>179225.28744321837</v>
      </c>
    </row>
    <row r="33" spans="3:16" x14ac:dyDescent="0.25">
      <c r="C33" s="26"/>
      <c r="D33" s="116" t="s">
        <v>286</v>
      </c>
      <c r="E33" s="34">
        <v>47665</v>
      </c>
      <c r="F33" s="93" t="str">
        <f t="shared" si="0"/>
        <v>2030-31</v>
      </c>
      <c r="H33" s="117" t="s">
        <v>193</v>
      </c>
      <c r="I33" s="26">
        <v>160175</v>
      </c>
      <c r="J33" s="102">
        <f>IFERROR(MIN('MP Calculations'!$E$29/I33,1),"-")</f>
        <v>0.50792864054939912</v>
      </c>
      <c r="K33" s="37"/>
      <c r="L33" s="26">
        <v>1</v>
      </c>
      <c r="M33" s="26"/>
      <c r="N33" s="26">
        <v>57219.77</v>
      </c>
      <c r="O33" s="96">
        <f t="shared" si="1"/>
        <v>57219.77</v>
      </c>
      <c r="P33" s="98">
        <f t="shared" si="2"/>
        <v>29063.559988649289</v>
      </c>
    </row>
    <row r="34" spans="3:16" x14ac:dyDescent="0.25">
      <c r="C34" s="26"/>
      <c r="D34" s="116" t="s">
        <v>287</v>
      </c>
      <c r="E34" s="34">
        <v>47665</v>
      </c>
      <c r="F34" s="93" t="str">
        <f t="shared" si="0"/>
        <v>2030-31</v>
      </c>
      <c r="H34" s="117" t="s">
        <v>193</v>
      </c>
      <c r="I34" s="26">
        <v>160175</v>
      </c>
      <c r="J34" s="102">
        <f>IFERROR(MIN('MP Calculations'!$E$29/I34,1),"-")</f>
        <v>0.50792864054939912</v>
      </c>
      <c r="K34" s="37"/>
      <c r="L34" s="26">
        <v>1</v>
      </c>
      <c r="M34" s="26"/>
      <c r="N34" s="26">
        <v>181195.94</v>
      </c>
      <c r="O34" s="96">
        <f t="shared" si="1"/>
        <v>181195.94</v>
      </c>
      <c r="P34" s="98">
        <f t="shared" si="2"/>
        <v>92034.607477270489</v>
      </c>
    </row>
    <row r="35" spans="3:16" x14ac:dyDescent="0.25">
      <c r="C35" s="26"/>
      <c r="D35" s="116" t="s">
        <v>288</v>
      </c>
      <c r="E35" s="34">
        <v>46935</v>
      </c>
      <c r="F35" s="93" t="str">
        <f t="shared" si="0"/>
        <v>2028-29</v>
      </c>
      <c r="H35" s="117" t="s">
        <v>193</v>
      </c>
      <c r="I35" s="26">
        <v>160175</v>
      </c>
      <c r="J35" s="102">
        <f>IFERROR(MIN('MP Calculations'!$E$29/I35,1),"-")</f>
        <v>0.50792864054939912</v>
      </c>
      <c r="K35" s="37"/>
      <c r="L35" s="26">
        <v>1</v>
      </c>
      <c r="M35" s="26"/>
      <c r="N35" s="26">
        <v>367160.2</v>
      </c>
      <c r="O35" s="96">
        <f t="shared" si="1"/>
        <v>367160.2</v>
      </c>
      <c r="P35" s="98">
        <f t="shared" si="2"/>
        <v>186491.18124984551</v>
      </c>
    </row>
    <row r="36" spans="3:16" ht="23" x14ac:dyDescent="0.25">
      <c r="C36" s="26"/>
      <c r="D36" s="116" t="s">
        <v>289</v>
      </c>
      <c r="E36" s="34">
        <v>47300</v>
      </c>
      <c r="F36" s="93" t="str">
        <f t="shared" si="0"/>
        <v>2029-30</v>
      </c>
      <c r="H36" s="117" t="s">
        <v>193</v>
      </c>
      <c r="I36" s="26">
        <v>160175</v>
      </c>
      <c r="J36" s="102">
        <f>IFERROR(MIN('MP Calculations'!$E$29/I36,1),"-")</f>
        <v>0.50792864054939912</v>
      </c>
      <c r="K36" s="37"/>
      <c r="L36" s="26">
        <v>1</v>
      </c>
      <c r="M36" s="26"/>
      <c r="N36" s="26">
        <v>725000</v>
      </c>
      <c r="O36" s="96">
        <f t="shared" si="1"/>
        <v>725000</v>
      </c>
      <c r="P36" s="98">
        <f t="shared" si="2"/>
        <v>368248.26439831435</v>
      </c>
    </row>
    <row r="37" spans="3:16" x14ac:dyDescent="0.25">
      <c r="C37" s="26"/>
      <c r="D37" s="116" t="s">
        <v>290</v>
      </c>
      <c r="E37" s="34">
        <v>47665</v>
      </c>
      <c r="F37" s="93" t="str">
        <f t="shared" si="0"/>
        <v>2030-31</v>
      </c>
      <c r="H37" s="117" t="s">
        <v>193</v>
      </c>
      <c r="I37" s="26">
        <v>160175</v>
      </c>
      <c r="J37" s="102">
        <f>IFERROR(MIN('MP Calculations'!$E$29/I37,1),"-")</f>
        <v>0.50792864054939912</v>
      </c>
      <c r="K37" s="37"/>
      <c r="L37" s="26">
        <v>1</v>
      </c>
      <c r="M37" s="26"/>
      <c r="N37" s="26">
        <v>596039.28</v>
      </c>
      <c r="O37" s="96">
        <f t="shared" si="1"/>
        <v>596039.28</v>
      </c>
      <c r="P37" s="98">
        <f t="shared" si="2"/>
        <v>302745.42120444268</v>
      </c>
    </row>
    <row r="38" spans="3:16" ht="23" x14ac:dyDescent="0.25">
      <c r="C38" s="26"/>
      <c r="D38" s="116" t="s">
        <v>291</v>
      </c>
      <c r="E38" s="34">
        <v>46204</v>
      </c>
      <c r="F38" s="93" t="str">
        <f t="shared" si="0"/>
        <v>2026-27</v>
      </c>
      <c r="H38" s="117" t="s">
        <v>193</v>
      </c>
      <c r="I38" s="26">
        <v>160175</v>
      </c>
      <c r="J38" s="102">
        <f>IFERROR(MIN('MP Calculations'!$E$29/I38,1),"-")</f>
        <v>0.50792864054939912</v>
      </c>
      <c r="K38" s="37"/>
      <c r="L38" s="26">
        <v>1</v>
      </c>
      <c r="M38" s="26"/>
      <c r="N38" s="26">
        <v>1335127.99</v>
      </c>
      <c r="O38" s="96">
        <f t="shared" si="1"/>
        <v>1335127.99</v>
      </c>
      <c r="P38" s="98">
        <f t="shared" si="2"/>
        <v>678149.74492015177</v>
      </c>
    </row>
    <row r="39" spans="3:16" x14ac:dyDescent="0.25">
      <c r="C39" s="26"/>
      <c r="D39" s="116" t="s">
        <v>292</v>
      </c>
      <c r="E39" s="34">
        <v>45839</v>
      </c>
      <c r="F39" s="93" t="str">
        <f t="shared" si="0"/>
        <v>2025-26</v>
      </c>
      <c r="H39" s="117" t="s">
        <v>193</v>
      </c>
      <c r="I39" s="26">
        <v>160175</v>
      </c>
      <c r="J39" s="102">
        <f>IFERROR(MIN('MP Calculations'!$E$29/I39,1),"-")</f>
        <v>0.50792864054939912</v>
      </c>
      <c r="K39" s="37"/>
      <c r="L39" s="26">
        <v>1</v>
      </c>
      <c r="M39" s="26"/>
      <c r="N39" s="26">
        <v>2310248.25</v>
      </c>
      <c r="O39" s="96">
        <f t="shared" si="1"/>
        <v>2310248.25</v>
      </c>
      <c r="P39" s="98">
        <f t="shared" si="2"/>
        <v>1173441.2529541284</v>
      </c>
    </row>
    <row r="40" spans="3:16" ht="23" x14ac:dyDescent="0.25">
      <c r="C40" s="26"/>
      <c r="D40" s="116" t="s">
        <v>293</v>
      </c>
      <c r="E40" s="34">
        <v>47300</v>
      </c>
      <c r="F40" s="93" t="str">
        <f t="shared" si="0"/>
        <v>2029-30</v>
      </c>
      <c r="H40" s="117" t="s">
        <v>193</v>
      </c>
      <c r="I40" s="26">
        <v>160175</v>
      </c>
      <c r="J40" s="102">
        <f>IFERROR(MIN('MP Calculations'!$E$29/I40,1),"-")</f>
        <v>0.50792864054939912</v>
      </c>
      <c r="K40" s="37"/>
      <c r="L40" s="26">
        <v>1</v>
      </c>
      <c r="M40" s="26"/>
      <c r="N40" s="26">
        <v>4582917.6500000004</v>
      </c>
      <c r="O40" s="96">
        <f t="shared" si="1"/>
        <v>4582917.6500000004</v>
      </c>
      <c r="P40" s="98">
        <f t="shared" si="2"/>
        <v>2327795.1317143473</v>
      </c>
    </row>
    <row r="41" spans="3:16" x14ac:dyDescent="0.25">
      <c r="C41" s="26"/>
      <c r="D41" s="116" t="s">
        <v>294</v>
      </c>
      <c r="E41" s="34">
        <v>47665</v>
      </c>
      <c r="F41" s="93" t="str">
        <f t="shared" si="0"/>
        <v>2030-31</v>
      </c>
      <c r="H41" s="117" t="s">
        <v>193</v>
      </c>
      <c r="I41" s="26">
        <v>160175</v>
      </c>
      <c r="J41" s="102">
        <f>IFERROR(MIN('MP Calculations'!$E$29/I41,1),"-")</f>
        <v>0.50792864054939912</v>
      </c>
      <c r="K41" s="37"/>
      <c r="L41" s="26">
        <v>1</v>
      </c>
      <c r="M41" s="26"/>
      <c r="N41" s="26">
        <v>1482945.73</v>
      </c>
      <c r="O41" s="96">
        <f t="shared" si="1"/>
        <v>1482945.73</v>
      </c>
      <c r="P41" s="98">
        <f t="shared" si="2"/>
        <v>753230.60864743625</v>
      </c>
    </row>
    <row r="42" spans="3:16" x14ac:dyDescent="0.25">
      <c r="C42" s="26"/>
      <c r="D42" s="116" t="s">
        <v>295</v>
      </c>
      <c r="E42" s="34">
        <v>47665</v>
      </c>
      <c r="F42" s="93" t="str">
        <f t="shared" si="0"/>
        <v>2030-31</v>
      </c>
      <c r="H42" s="117" t="s">
        <v>193</v>
      </c>
      <c r="I42" s="26">
        <v>160175</v>
      </c>
      <c r="J42" s="102">
        <f>IFERROR(MIN('MP Calculations'!$E$29/I42,1),"-")</f>
        <v>0.50792864054939912</v>
      </c>
      <c r="K42" s="37"/>
      <c r="L42" s="26">
        <v>1</v>
      </c>
      <c r="M42" s="26"/>
      <c r="N42" s="26">
        <v>616317.15</v>
      </c>
      <c r="O42" s="96">
        <f t="shared" si="1"/>
        <v>616317.15</v>
      </c>
      <c r="P42" s="98">
        <f t="shared" si="2"/>
        <v>313045.13214678009</v>
      </c>
    </row>
    <row r="43" spans="3:16" x14ac:dyDescent="0.25">
      <c r="C43" s="26"/>
      <c r="D43" s="116" t="s">
        <v>296</v>
      </c>
      <c r="E43" s="34">
        <v>47665</v>
      </c>
      <c r="F43" s="93" t="str">
        <f t="shared" si="0"/>
        <v>2030-31</v>
      </c>
      <c r="H43" s="117" t="s">
        <v>193</v>
      </c>
      <c r="I43" s="26">
        <v>160175</v>
      </c>
      <c r="J43" s="102">
        <f>IFERROR(MIN('MP Calculations'!$E$29/I43,1),"-")</f>
        <v>0.50792864054939912</v>
      </c>
      <c r="K43" s="37"/>
      <c r="L43" s="26">
        <v>1</v>
      </c>
      <c r="M43" s="26"/>
      <c r="N43" s="26">
        <v>743947.77</v>
      </c>
      <c r="O43" s="96">
        <f t="shared" si="1"/>
        <v>743947.77</v>
      </c>
      <c r="P43" s="98">
        <f t="shared" si="2"/>
        <v>377872.37945585704</v>
      </c>
    </row>
    <row r="44" spans="3:16" x14ac:dyDescent="0.25">
      <c r="C44" s="26"/>
      <c r="D44" s="116" t="s">
        <v>297</v>
      </c>
      <c r="E44" s="34">
        <v>46935</v>
      </c>
      <c r="F44" s="93" t="str">
        <f t="shared" si="0"/>
        <v>2028-29</v>
      </c>
      <c r="H44" s="117" t="s">
        <v>193</v>
      </c>
      <c r="I44" s="26">
        <v>160175</v>
      </c>
      <c r="J44" s="102">
        <f>IFERROR(MIN('MP Calculations'!$E$29/I44,1),"-")</f>
        <v>0.50792864054939912</v>
      </c>
      <c r="K44" s="37"/>
      <c r="L44" s="26">
        <v>1</v>
      </c>
      <c r="M44" s="26"/>
      <c r="N44" s="26">
        <v>95366.28</v>
      </c>
      <c r="O44" s="96">
        <f t="shared" si="1"/>
        <v>95366.28</v>
      </c>
      <c r="P44" s="98">
        <f t="shared" si="2"/>
        <v>48439.26495465335</v>
      </c>
    </row>
    <row r="45" spans="3:16" ht="23" x14ac:dyDescent="0.25">
      <c r="C45" s="26"/>
      <c r="D45" s="116" t="s">
        <v>298</v>
      </c>
      <c r="E45" s="34">
        <v>49857</v>
      </c>
      <c r="F45" s="93" t="str">
        <f t="shared" si="0"/>
        <v>2036-37</v>
      </c>
      <c r="H45" s="117" t="s">
        <v>193</v>
      </c>
      <c r="I45" s="26">
        <v>160175</v>
      </c>
      <c r="J45" s="102">
        <f>IFERROR(MIN('MP Calculations'!$E$29/I45,1),"-")</f>
        <v>0.50792864054939912</v>
      </c>
      <c r="K45" s="37"/>
      <c r="L45" s="26">
        <v>1</v>
      </c>
      <c r="M45" s="26"/>
      <c r="N45" s="26">
        <v>820150.05</v>
      </c>
      <c r="O45" s="96">
        <f t="shared" si="1"/>
        <v>820150.05</v>
      </c>
      <c r="P45" s="98">
        <f t="shared" si="2"/>
        <v>416577.69994302175</v>
      </c>
    </row>
    <row r="46" spans="3:16" x14ac:dyDescent="0.25">
      <c r="C46" s="26"/>
      <c r="D46" s="116" t="s">
        <v>299</v>
      </c>
      <c r="E46" s="34">
        <v>46935</v>
      </c>
      <c r="F46" s="93" t="str">
        <f t="shared" si="0"/>
        <v>2028-29</v>
      </c>
      <c r="H46" s="117" t="s">
        <v>193</v>
      </c>
      <c r="I46" s="26">
        <v>160175</v>
      </c>
      <c r="J46" s="102">
        <f>IFERROR(MIN('MP Calculations'!$E$29/I46,1),"-")</f>
        <v>0.50792864054939912</v>
      </c>
      <c r="K46" s="37"/>
      <c r="L46" s="26">
        <v>1</v>
      </c>
      <c r="M46" s="26"/>
      <c r="N46" s="26">
        <v>882138.13</v>
      </c>
      <c r="O46" s="96">
        <f t="shared" si="1"/>
        <v>882138.13</v>
      </c>
      <c r="P46" s="98">
        <f t="shared" si="2"/>
        <v>448063.2211476891</v>
      </c>
    </row>
    <row r="47" spans="3:16" x14ac:dyDescent="0.25">
      <c r="C47" s="26"/>
      <c r="D47" s="116" t="s">
        <v>300</v>
      </c>
      <c r="E47" s="34">
        <v>46935</v>
      </c>
      <c r="F47" s="93" t="str">
        <f t="shared" si="0"/>
        <v>2028-29</v>
      </c>
      <c r="H47" s="117" t="s">
        <v>193</v>
      </c>
      <c r="I47" s="26">
        <v>160175</v>
      </c>
      <c r="J47" s="102">
        <f>IFERROR(MIN('MP Calculations'!$E$29/I47,1),"-")</f>
        <v>0.50792864054939912</v>
      </c>
      <c r="K47" s="37"/>
      <c r="L47" s="26">
        <v>1</v>
      </c>
      <c r="M47" s="26"/>
      <c r="N47" s="26">
        <v>452989.85</v>
      </c>
      <c r="O47" s="96">
        <f t="shared" si="1"/>
        <v>452989.85</v>
      </c>
      <c r="P47" s="98">
        <f t="shared" si="2"/>
        <v>230086.51869317621</v>
      </c>
    </row>
    <row r="48" spans="3:16" x14ac:dyDescent="0.25">
      <c r="C48" s="26"/>
      <c r="D48" s="116" t="s">
        <v>301</v>
      </c>
      <c r="E48" s="34">
        <v>46935</v>
      </c>
      <c r="F48" s="93" t="str">
        <f t="shared" si="0"/>
        <v>2028-29</v>
      </c>
      <c r="H48" s="117" t="s">
        <v>193</v>
      </c>
      <c r="I48" s="26">
        <v>160175</v>
      </c>
      <c r="J48" s="102">
        <f>IFERROR(MIN('MP Calculations'!$E$29/I48,1),"-")</f>
        <v>0.50792864054939912</v>
      </c>
      <c r="K48" s="37"/>
      <c r="L48" s="26">
        <v>1</v>
      </c>
      <c r="M48" s="26"/>
      <c r="N48" s="26">
        <v>432962.93</v>
      </c>
      <c r="O48" s="96">
        <f t="shared" si="1"/>
        <v>432962.93</v>
      </c>
      <c r="P48" s="98">
        <f t="shared" si="2"/>
        <v>219914.27244318466</v>
      </c>
    </row>
    <row r="49" spans="3:16" x14ac:dyDescent="0.25">
      <c r="C49" s="26"/>
      <c r="D49" s="116" t="s">
        <v>302</v>
      </c>
      <c r="E49" s="34">
        <v>46935</v>
      </c>
      <c r="F49" s="93" t="str">
        <f t="shared" si="0"/>
        <v>2028-29</v>
      </c>
      <c r="H49" s="117" t="s">
        <v>193</v>
      </c>
      <c r="I49" s="26">
        <v>160175</v>
      </c>
      <c r="J49" s="102">
        <f>IFERROR(MIN('MP Calculations'!$E$29/I49,1),"-")</f>
        <v>0.50792864054939912</v>
      </c>
      <c r="K49" s="37"/>
      <c r="L49" s="26">
        <v>1</v>
      </c>
      <c r="M49" s="26"/>
      <c r="N49" s="26">
        <v>337119.82</v>
      </c>
      <c r="O49" s="96">
        <f t="shared" si="1"/>
        <v>337119.82</v>
      </c>
      <c r="P49" s="98">
        <f t="shared" si="2"/>
        <v>171232.81187485813</v>
      </c>
    </row>
    <row r="50" spans="3:16" x14ac:dyDescent="0.25">
      <c r="C50" s="26"/>
      <c r="D50" s="116" t="s">
        <v>303</v>
      </c>
      <c r="E50" s="34">
        <v>47665</v>
      </c>
      <c r="F50" s="93" t="str">
        <f t="shared" si="0"/>
        <v>2030-31</v>
      </c>
      <c r="H50" s="117" t="s">
        <v>193</v>
      </c>
      <c r="I50" s="26">
        <v>160175</v>
      </c>
      <c r="J50" s="102">
        <f>IFERROR(MIN('MP Calculations'!$E$29/I50,1),"-")</f>
        <v>0.50792864054939912</v>
      </c>
      <c r="K50" s="37"/>
      <c r="L50" s="26">
        <v>1</v>
      </c>
      <c r="M50" s="26"/>
      <c r="N50" s="26">
        <v>715247.14</v>
      </c>
      <c r="O50" s="96">
        <f t="shared" si="1"/>
        <v>715247.14</v>
      </c>
      <c r="P50" s="98">
        <f t="shared" si="2"/>
        <v>363294.50747704576</v>
      </c>
    </row>
    <row r="51" spans="3:16" x14ac:dyDescent="0.25">
      <c r="C51" s="26"/>
      <c r="D51" s="116"/>
      <c r="E51" s="34"/>
      <c r="F51" s="93" t="str">
        <f t="shared" si="0"/>
        <v>-</v>
      </c>
      <c r="H51" s="117"/>
      <c r="I51" s="26"/>
      <c r="J51" s="102" t="str">
        <f>IFERROR(MIN('MP Calculations'!$E$29/I51,1),"-")</f>
        <v>-</v>
      </c>
      <c r="K51" s="37"/>
      <c r="L51" s="26"/>
      <c r="M51" s="26"/>
      <c r="N51" s="26"/>
      <c r="O51" s="96" t="str">
        <f t="shared" si="1"/>
        <v>-</v>
      </c>
      <c r="P51" s="98" t="str">
        <f t="shared" si="2"/>
        <v>-</v>
      </c>
    </row>
    <row r="52" spans="3:16" x14ac:dyDescent="0.25">
      <c r="C52" s="26"/>
      <c r="D52" s="116"/>
      <c r="E52" s="34"/>
      <c r="F52" s="93" t="str">
        <f t="shared" si="0"/>
        <v>-</v>
      </c>
      <c r="H52" s="117"/>
      <c r="I52" s="26"/>
      <c r="J52" s="102" t="str">
        <f>IFERROR(MIN('MP Calculations'!$E$29/I52,1),"-")</f>
        <v>-</v>
      </c>
      <c r="K52" s="37"/>
      <c r="L52" s="26"/>
      <c r="M52" s="26"/>
      <c r="N52" s="26"/>
      <c r="O52" s="96" t="str">
        <f t="shared" si="1"/>
        <v>-</v>
      </c>
      <c r="P52" s="98" t="str">
        <f t="shared" si="2"/>
        <v>-</v>
      </c>
    </row>
    <row r="53" spans="3:16" x14ac:dyDescent="0.25">
      <c r="C53" s="26"/>
      <c r="D53" s="116"/>
      <c r="E53" s="34"/>
      <c r="F53" s="93" t="str">
        <f t="shared" si="0"/>
        <v>-</v>
      </c>
      <c r="H53" s="117"/>
      <c r="I53" s="26"/>
      <c r="J53" s="102" t="str">
        <f>IFERROR(MIN('MP Calculations'!$E$29/I53,1),"-")</f>
        <v>-</v>
      </c>
      <c r="K53" s="37"/>
      <c r="L53" s="26"/>
      <c r="M53" s="26"/>
      <c r="N53" s="26"/>
      <c r="O53" s="96" t="str">
        <f t="shared" si="1"/>
        <v>-</v>
      </c>
      <c r="P53" s="98" t="str">
        <f t="shared" si="2"/>
        <v>-</v>
      </c>
    </row>
    <row r="54" spans="3:16" x14ac:dyDescent="0.25">
      <c r="C54" s="26"/>
      <c r="D54" s="116"/>
      <c r="E54" s="34"/>
      <c r="F54" s="93" t="str">
        <f t="shared" si="0"/>
        <v>-</v>
      </c>
      <c r="H54" s="117"/>
      <c r="I54" s="26"/>
      <c r="J54" s="102" t="str">
        <f>IFERROR(MIN('MP Calculations'!$E$29/I54,1),"-")</f>
        <v>-</v>
      </c>
      <c r="K54" s="37"/>
      <c r="L54" s="26"/>
      <c r="M54" s="26"/>
      <c r="N54" s="26"/>
      <c r="O54" s="96" t="str">
        <f t="shared" si="1"/>
        <v>-</v>
      </c>
      <c r="P54" s="98" t="str">
        <f t="shared" si="2"/>
        <v>-</v>
      </c>
    </row>
    <row r="55" spans="3:16" x14ac:dyDescent="0.25">
      <c r="C55" s="26"/>
      <c r="D55" s="116"/>
      <c r="E55" s="34"/>
      <c r="F55" s="93" t="str">
        <f t="shared" si="0"/>
        <v>-</v>
      </c>
      <c r="H55" s="117"/>
      <c r="I55" s="26"/>
      <c r="J55" s="102" t="str">
        <f>IFERROR(MIN('MP Calculations'!$E$29/I55,1),"-")</f>
        <v>-</v>
      </c>
      <c r="K55" s="37"/>
      <c r="L55" s="26"/>
      <c r="M55" s="26"/>
      <c r="N55" s="26"/>
      <c r="O55" s="96" t="str">
        <f t="shared" si="1"/>
        <v>-</v>
      </c>
      <c r="P55" s="98" t="str">
        <f t="shared" si="2"/>
        <v>-</v>
      </c>
    </row>
    <row r="56" spans="3:16" x14ac:dyDescent="0.25">
      <c r="C56" s="26"/>
      <c r="D56" s="116"/>
      <c r="E56" s="34"/>
      <c r="F56" s="93" t="str">
        <f t="shared" si="0"/>
        <v>-</v>
      </c>
      <c r="H56" s="117"/>
      <c r="I56" s="26"/>
      <c r="J56" s="102" t="str">
        <f>IFERROR(MIN('MP Calculations'!$E$29/I56,1),"-")</f>
        <v>-</v>
      </c>
      <c r="K56" s="37"/>
      <c r="L56" s="26"/>
      <c r="M56" s="26"/>
      <c r="N56" s="26"/>
      <c r="O56" s="96" t="str">
        <f t="shared" si="1"/>
        <v>-</v>
      </c>
      <c r="P56" s="98" t="str">
        <f t="shared" si="2"/>
        <v>-</v>
      </c>
    </row>
    <row r="57" spans="3:16" x14ac:dyDescent="0.25">
      <c r="C57" s="26"/>
      <c r="D57" s="116"/>
      <c r="E57" s="34"/>
      <c r="F57" s="93" t="str">
        <f t="shared" si="0"/>
        <v>-</v>
      </c>
      <c r="H57" s="117"/>
      <c r="I57" s="26"/>
      <c r="J57" s="102" t="str">
        <f>IFERROR(MIN('MP Calculations'!$E$29/I57,1),"-")</f>
        <v>-</v>
      </c>
      <c r="K57" s="37"/>
      <c r="L57" s="26"/>
      <c r="M57" s="26"/>
      <c r="N57" s="26"/>
      <c r="O57" s="96" t="str">
        <f t="shared" si="1"/>
        <v>-</v>
      </c>
      <c r="P57" s="98" t="str">
        <f t="shared" si="2"/>
        <v>-</v>
      </c>
    </row>
    <row r="58" spans="3:16" x14ac:dyDescent="0.25">
      <c r="C58" s="26"/>
      <c r="D58" s="116"/>
      <c r="E58" s="34"/>
      <c r="F58" s="93" t="str">
        <f t="shared" si="0"/>
        <v>-</v>
      </c>
      <c r="H58" s="117"/>
      <c r="I58" s="26"/>
      <c r="J58" s="102" t="str">
        <f>IFERROR(MIN('MP Calculations'!$E$29/I58,1),"-")</f>
        <v>-</v>
      </c>
      <c r="K58" s="37"/>
      <c r="L58" s="26"/>
      <c r="M58" s="26"/>
      <c r="N58" s="26"/>
      <c r="O58" s="96" t="str">
        <f t="shared" si="1"/>
        <v>-</v>
      </c>
      <c r="P58" s="98" t="str">
        <f t="shared" si="2"/>
        <v>-</v>
      </c>
    </row>
    <row r="59" spans="3:16" x14ac:dyDescent="0.25">
      <c r="C59" s="26"/>
      <c r="D59" s="116"/>
      <c r="E59" s="34"/>
      <c r="F59" s="93" t="str">
        <f t="shared" si="0"/>
        <v>-</v>
      </c>
      <c r="H59" s="117"/>
      <c r="I59" s="26"/>
      <c r="J59" s="102" t="str">
        <f>IFERROR(MIN('MP Calculations'!$E$29/I59,1),"-")</f>
        <v>-</v>
      </c>
      <c r="K59" s="37"/>
      <c r="L59" s="26"/>
      <c r="M59" s="26"/>
      <c r="N59" s="26"/>
      <c r="O59" s="96" t="str">
        <f t="shared" si="1"/>
        <v>-</v>
      </c>
      <c r="P59" s="98" t="str">
        <f t="shared" si="2"/>
        <v>-</v>
      </c>
    </row>
    <row r="60" spans="3:16" x14ac:dyDescent="0.25">
      <c r="C60" s="26"/>
      <c r="D60" s="116"/>
      <c r="E60" s="34"/>
      <c r="F60" s="93" t="str">
        <f t="shared" si="0"/>
        <v>-</v>
      </c>
      <c r="H60" s="117"/>
      <c r="I60" s="26"/>
      <c r="J60" s="102" t="str">
        <f>IFERROR(MIN('MP Calculations'!$E$29/I60,1),"-")</f>
        <v>-</v>
      </c>
      <c r="K60" s="37"/>
      <c r="L60" s="26"/>
      <c r="M60" s="26"/>
      <c r="N60" s="26"/>
      <c r="O60" s="96" t="str">
        <f t="shared" si="1"/>
        <v>-</v>
      </c>
      <c r="P60" s="98" t="str">
        <f t="shared" si="2"/>
        <v>-</v>
      </c>
    </row>
    <row r="61" spans="3:16" x14ac:dyDescent="0.25">
      <c r="C61" s="26"/>
      <c r="D61" s="116"/>
      <c r="E61" s="34"/>
      <c r="F61" s="93" t="str">
        <f t="shared" si="0"/>
        <v>-</v>
      </c>
      <c r="H61" s="117"/>
      <c r="I61" s="26"/>
      <c r="J61" s="102" t="str">
        <f>IFERROR(MIN('MP Calculations'!$E$29/I61,1),"-")</f>
        <v>-</v>
      </c>
      <c r="K61" s="37"/>
      <c r="L61" s="26"/>
      <c r="M61" s="26"/>
      <c r="N61" s="26"/>
      <c r="O61" s="96" t="str">
        <f t="shared" si="1"/>
        <v>-</v>
      </c>
      <c r="P61" s="98" t="str">
        <f t="shared" si="2"/>
        <v>-</v>
      </c>
    </row>
    <row r="62" spans="3:16" x14ac:dyDescent="0.25">
      <c r="C62" s="26"/>
      <c r="D62" s="116"/>
      <c r="E62" s="34"/>
      <c r="F62" s="93" t="str">
        <f t="shared" si="0"/>
        <v>-</v>
      </c>
      <c r="H62" s="117"/>
      <c r="I62" s="26"/>
      <c r="J62" s="102" t="str">
        <f>IFERROR(MIN('MP Calculations'!$E$29/I62,1),"-")</f>
        <v>-</v>
      </c>
      <c r="K62" s="37"/>
      <c r="L62" s="26"/>
      <c r="M62" s="26"/>
      <c r="N62" s="26"/>
      <c r="O62" s="96" t="str">
        <f t="shared" si="1"/>
        <v>-</v>
      </c>
      <c r="P62" s="98" t="str">
        <f t="shared" si="2"/>
        <v>-</v>
      </c>
    </row>
    <row r="63" spans="3:16" x14ac:dyDescent="0.25">
      <c r="C63" s="26"/>
      <c r="D63" s="116"/>
      <c r="E63" s="34"/>
      <c r="F63" s="93" t="str">
        <f t="shared" si="0"/>
        <v>-</v>
      </c>
      <c r="H63" s="117"/>
      <c r="I63" s="26"/>
      <c r="J63" s="102" t="str">
        <f>IFERROR(MIN('MP Calculations'!$E$29/I63,1),"-")</f>
        <v>-</v>
      </c>
      <c r="K63" s="37"/>
      <c r="L63" s="26"/>
      <c r="M63" s="26"/>
      <c r="N63" s="26"/>
      <c r="O63" s="96" t="str">
        <f t="shared" si="1"/>
        <v>-</v>
      </c>
      <c r="P63" s="98" t="str">
        <f t="shared" si="2"/>
        <v>-</v>
      </c>
    </row>
    <row r="64" spans="3:16" x14ac:dyDescent="0.25">
      <c r="C64" s="26"/>
      <c r="D64" s="116"/>
      <c r="E64" s="34"/>
      <c r="F64" s="93" t="str">
        <f t="shared" si="0"/>
        <v>-</v>
      </c>
      <c r="H64" s="117"/>
      <c r="I64" s="26"/>
      <c r="J64" s="102" t="str">
        <f>IFERROR(MIN('MP Calculations'!$E$29/I64,1),"-")</f>
        <v>-</v>
      </c>
      <c r="K64" s="37"/>
      <c r="L64" s="26"/>
      <c r="M64" s="26"/>
      <c r="N64" s="26"/>
      <c r="O64" s="96" t="str">
        <f t="shared" si="1"/>
        <v>-</v>
      </c>
      <c r="P64" s="98" t="str">
        <f t="shared" si="2"/>
        <v>-</v>
      </c>
    </row>
    <row r="65" spans="3:16" x14ac:dyDescent="0.25">
      <c r="C65" s="26"/>
      <c r="D65" s="116"/>
      <c r="E65" s="34"/>
      <c r="F65" s="93" t="str">
        <f t="shared" si="0"/>
        <v>-</v>
      </c>
      <c r="H65" s="117"/>
      <c r="I65" s="26"/>
      <c r="J65" s="102" t="str">
        <f>IFERROR(MIN('MP Calculations'!$E$29/I65,1),"-")</f>
        <v>-</v>
      </c>
      <c r="K65" s="37"/>
      <c r="L65" s="26"/>
      <c r="M65" s="26"/>
      <c r="N65" s="26"/>
      <c r="O65" s="96" t="str">
        <f t="shared" si="1"/>
        <v>-</v>
      </c>
      <c r="P65" s="98" t="str">
        <f t="shared" si="2"/>
        <v>-</v>
      </c>
    </row>
    <row r="66" spans="3:16" x14ac:dyDescent="0.25">
      <c r="C66" s="26"/>
      <c r="D66" s="116"/>
      <c r="E66" s="34"/>
      <c r="F66" s="93" t="str">
        <f t="shared" si="0"/>
        <v>-</v>
      </c>
      <c r="H66" s="117"/>
      <c r="I66" s="26"/>
      <c r="J66" s="102" t="str">
        <f>IFERROR(MIN('MP Calculations'!$E$29/I66,1),"-")</f>
        <v>-</v>
      </c>
      <c r="K66" s="37"/>
      <c r="L66" s="26"/>
      <c r="M66" s="26"/>
      <c r="N66" s="26"/>
      <c r="O66" s="96" t="str">
        <f t="shared" si="1"/>
        <v>-</v>
      </c>
      <c r="P66" s="98" t="str">
        <f t="shared" si="2"/>
        <v>-</v>
      </c>
    </row>
    <row r="67" spans="3:16" x14ac:dyDescent="0.25">
      <c r="C67" s="26"/>
      <c r="D67" s="116"/>
      <c r="E67" s="34"/>
      <c r="F67" s="93" t="str">
        <f t="shared" si="0"/>
        <v>-</v>
      </c>
      <c r="H67" s="117"/>
      <c r="I67" s="26"/>
      <c r="J67" s="102" t="str">
        <f>IFERROR(MIN('MP Calculations'!$E$29/I67,1),"-")</f>
        <v>-</v>
      </c>
      <c r="K67" s="37"/>
      <c r="L67" s="26"/>
      <c r="M67" s="26"/>
      <c r="N67" s="26"/>
      <c r="O67" s="96" t="str">
        <f t="shared" si="1"/>
        <v>-</v>
      </c>
      <c r="P67" s="98" t="str">
        <f t="shared" si="2"/>
        <v>-</v>
      </c>
    </row>
    <row r="68" spans="3:16" x14ac:dyDescent="0.25">
      <c r="C68" s="26"/>
      <c r="D68" s="116"/>
      <c r="E68" s="34"/>
      <c r="F68" s="93" t="str">
        <f t="shared" si="0"/>
        <v>-</v>
      </c>
      <c r="H68" s="117"/>
      <c r="I68" s="26"/>
      <c r="J68" s="102" t="str">
        <f>IFERROR(MIN('MP Calculations'!$E$29/I68,1),"-")</f>
        <v>-</v>
      </c>
      <c r="K68" s="37"/>
      <c r="L68" s="26"/>
      <c r="M68" s="26"/>
      <c r="N68" s="26"/>
      <c r="O68" s="96" t="str">
        <f t="shared" si="1"/>
        <v>-</v>
      </c>
      <c r="P68" s="98" t="str">
        <f t="shared" si="2"/>
        <v>-</v>
      </c>
    </row>
    <row r="69" spans="3:16" x14ac:dyDescent="0.25">
      <c r="C69" s="26"/>
      <c r="D69" s="116"/>
      <c r="E69" s="34"/>
      <c r="F69" s="93" t="str">
        <f t="shared" si="0"/>
        <v>-</v>
      </c>
      <c r="H69" s="117"/>
      <c r="I69" s="26"/>
      <c r="J69" s="102" t="str">
        <f>IFERROR(MIN('MP Calculations'!$E$29/I69,1),"-")</f>
        <v>-</v>
      </c>
      <c r="K69" s="37"/>
      <c r="L69" s="26"/>
      <c r="M69" s="26"/>
      <c r="N69" s="26"/>
      <c r="O69" s="96" t="str">
        <f t="shared" si="1"/>
        <v>-</v>
      </c>
      <c r="P69" s="98" t="str">
        <f t="shared" si="2"/>
        <v>-</v>
      </c>
    </row>
    <row r="70" spans="3:16" x14ac:dyDescent="0.25">
      <c r="C70" s="26"/>
      <c r="D70" s="116"/>
      <c r="E70" s="34"/>
      <c r="F70" s="93" t="str">
        <f t="shared" si="0"/>
        <v>-</v>
      </c>
      <c r="H70" s="117"/>
      <c r="I70" s="26"/>
      <c r="J70" s="102" t="str">
        <f>IFERROR(MIN('MP Calculations'!$E$29/I70,1),"-")</f>
        <v>-</v>
      </c>
      <c r="K70" s="37"/>
      <c r="L70" s="26"/>
      <c r="M70" s="26"/>
      <c r="N70" s="26"/>
      <c r="O70" s="96" t="str">
        <f t="shared" si="1"/>
        <v>-</v>
      </c>
      <c r="P70" s="98" t="str">
        <f t="shared" si="2"/>
        <v>-</v>
      </c>
    </row>
    <row r="71" spans="3:16" x14ac:dyDescent="0.25">
      <c r="C71" s="26"/>
      <c r="D71" s="116"/>
      <c r="E71" s="34"/>
      <c r="F71" s="93" t="str">
        <f t="shared" si="0"/>
        <v>-</v>
      </c>
      <c r="H71" s="117"/>
      <c r="I71" s="26"/>
      <c r="J71" s="102" t="str">
        <f>IFERROR(MIN('MP Calculations'!$E$29/I71,1),"-")</f>
        <v>-</v>
      </c>
      <c r="K71" s="37"/>
      <c r="L71" s="26"/>
      <c r="M71" s="26"/>
      <c r="N71" s="26"/>
      <c r="O71" s="96" t="str">
        <f t="shared" si="1"/>
        <v>-</v>
      </c>
      <c r="P71" s="98" t="str">
        <f t="shared" si="2"/>
        <v>-</v>
      </c>
    </row>
    <row r="72" spans="3:16" x14ac:dyDescent="0.25">
      <c r="C72" s="26"/>
      <c r="D72" s="116"/>
      <c r="E72" s="34"/>
      <c r="F72" s="93" t="str">
        <f t="shared" si="0"/>
        <v>-</v>
      </c>
      <c r="H72" s="117"/>
      <c r="I72" s="26"/>
      <c r="J72" s="102" t="str">
        <f>IFERROR(MIN('MP Calculations'!$E$29/I72,1),"-")</f>
        <v>-</v>
      </c>
      <c r="K72" s="37"/>
      <c r="L72" s="26"/>
      <c r="M72" s="26"/>
      <c r="N72" s="26"/>
      <c r="O72" s="96" t="str">
        <f t="shared" si="1"/>
        <v>-</v>
      </c>
      <c r="P72" s="98" t="str">
        <f t="shared" si="2"/>
        <v>-</v>
      </c>
    </row>
    <row r="73" spans="3:16" x14ac:dyDescent="0.25">
      <c r="C73" s="26"/>
      <c r="D73" s="116"/>
      <c r="E73" s="34"/>
      <c r="F73" s="93" t="str">
        <f t="shared" si="0"/>
        <v>-</v>
      </c>
      <c r="H73" s="117"/>
      <c r="I73" s="26"/>
      <c r="J73" s="102" t="str">
        <f>IFERROR(MIN('MP Calculations'!$E$29/I73,1),"-")</f>
        <v>-</v>
      </c>
      <c r="K73" s="37"/>
      <c r="L73" s="26"/>
      <c r="M73" s="26"/>
      <c r="N73" s="26"/>
      <c r="O73" s="96" t="str">
        <f t="shared" si="1"/>
        <v>-</v>
      </c>
      <c r="P73" s="98" t="str">
        <f t="shared" si="2"/>
        <v>-</v>
      </c>
    </row>
    <row r="74" spans="3:16" x14ac:dyDescent="0.25">
      <c r="C74" s="26"/>
      <c r="D74" s="116"/>
      <c r="E74" s="34"/>
      <c r="F74" s="93" t="str">
        <f t="shared" si="0"/>
        <v>-</v>
      </c>
      <c r="H74" s="117"/>
      <c r="I74" s="26"/>
      <c r="J74" s="102" t="str">
        <f>IFERROR(MIN('MP Calculations'!$E$29/I74,1),"-")</f>
        <v>-</v>
      </c>
      <c r="K74" s="37"/>
      <c r="L74" s="26"/>
      <c r="M74" s="26"/>
      <c r="N74" s="26"/>
      <c r="O74" s="96" t="str">
        <f t="shared" si="1"/>
        <v>-</v>
      </c>
      <c r="P74" s="98" t="str">
        <f t="shared" si="2"/>
        <v>-</v>
      </c>
    </row>
    <row r="75" spans="3:16" x14ac:dyDescent="0.25">
      <c r="C75" s="26"/>
      <c r="D75" s="116"/>
      <c r="E75" s="34"/>
      <c r="F75" s="93" t="str">
        <f t="shared" si="0"/>
        <v>-</v>
      </c>
      <c r="H75" s="117"/>
      <c r="I75" s="26"/>
      <c r="J75" s="102" t="str">
        <f>IFERROR(MIN('MP Calculations'!$E$29/I75,1),"-")</f>
        <v>-</v>
      </c>
      <c r="K75" s="37"/>
      <c r="L75" s="26"/>
      <c r="M75" s="26"/>
      <c r="N75" s="26"/>
      <c r="O75" s="96" t="str">
        <f t="shared" si="1"/>
        <v>-</v>
      </c>
      <c r="P75" s="98" t="str">
        <f t="shared" si="2"/>
        <v>-</v>
      </c>
    </row>
    <row r="76" spans="3:16" x14ac:dyDescent="0.25">
      <c r="C76" s="26"/>
      <c r="D76" s="116"/>
      <c r="E76" s="34"/>
      <c r="F76" s="93" t="str">
        <f t="shared" si="0"/>
        <v>-</v>
      </c>
      <c r="H76" s="117"/>
      <c r="I76" s="26"/>
      <c r="J76" s="102" t="str">
        <f>IFERROR(MIN('MP Calculations'!$E$29/I76,1),"-")</f>
        <v>-</v>
      </c>
      <c r="K76" s="37"/>
      <c r="L76" s="26"/>
      <c r="M76" s="26"/>
      <c r="N76" s="26"/>
      <c r="O76" s="96" t="str">
        <f t="shared" si="1"/>
        <v>-</v>
      </c>
      <c r="P76" s="98" t="str">
        <f t="shared" si="2"/>
        <v>-</v>
      </c>
    </row>
    <row r="77" spans="3:16" x14ac:dyDescent="0.25">
      <c r="C77" s="26"/>
      <c r="D77" s="116"/>
      <c r="E77" s="34"/>
      <c r="F77" s="93" t="str">
        <f t="shared" si="0"/>
        <v>-</v>
      </c>
      <c r="H77" s="117"/>
      <c r="I77" s="26"/>
      <c r="J77" s="102" t="str">
        <f>IFERROR(MIN('MP Calculations'!$E$29/I77,1),"-")</f>
        <v>-</v>
      </c>
      <c r="K77" s="37"/>
      <c r="L77" s="26"/>
      <c r="M77" s="26"/>
      <c r="N77" s="26"/>
      <c r="O77" s="96" t="str">
        <f t="shared" si="1"/>
        <v>-</v>
      </c>
      <c r="P77" s="98" t="str">
        <f t="shared" si="2"/>
        <v>-</v>
      </c>
    </row>
    <row r="78" spans="3:16" x14ac:dyDescent="0.25">
      <c r="C78" s="26"/>
      <c r="D78" s="116"/>
      <c r="E78" s="34"/>
      <c r="F78" s="93" t="str">
        <f t="shared" si="0"/>
        <v>-</v>
      </c>
      <c r="H78" s="117"/>
      <c r="I78" s="26"/>
      <c r="J78" s="102" t="str">
        <f>IFERROR(MIN('MP Calculations'!$E$29/I78,1),"-")</f>
        <v>-</v>
      </c>
      <c r="K78" s="37"/>
      <c r="L78" s="26"/>
      <c r="M78" s="26"/>
      <c r="N78" s="26"/>
      <c r="O78" s="96" t="str">
        <f t="shared" si="1"/>
        <v>-</v>
      </c>
      <c r="P78" s="98" t="str">
        <f t="shared" si="2"/>
        <v>-</v>
      </c>
    </row>
    <row r="79" spans="3:16" x14ac:dyDescent="0.25">
      <c r="C79" s="26"/>
      <c r="D79" s="116"/>
      <c r="E79" s="34"/>
      <c r="F79" s="93" t="str">
        <f t="shared" si="0"/>
        <v>-</v>
      </c>
      <c r="H79" s="117"/>
      <c r="I79" s="26"/>
      <c r="J79" s="102" t="str">
        <f>IFERROR(MIN('MP Calculations'!$E$29/I79,1),"-")</f>
        <v>-</v>
      </c>
      <c r="K79" s="37"/>
      <c r="L79" s="26"/>
      <c r="M79" s="26"/>
      <c r="N79" s="26"/>
      <c r="O79" s="96" t="str">
        <f t="shared" si="1"/>
        <v>-</v>
      </c>
      <c r="P79" s="98" t="str">
        <f t="shared" si="2"/>
        <v>-</v>
      </c>
    </row>
    <row r="80" spans="3:16" x14ac:dyDescent="0.25">
      <c r="C80" s="26"/>
      <c r="D80" s="116"/>
      <c r="E80" s="34"/>
      <c r="F80" s="93" t="str">
        <f t="shared" si="0"/>
        <v>-</v>
      </c>
      <c r="H80" s="117"/>
      <c r="I80" s="26"/>
      <c r="J80" s="102" t="str">
        <f>IFERROR(MIN('MP Calculations'!$E$29/I80,1),"-")</f>
        <v>-</v>
      </c>
      <c r="K80" s="37"/>
      <c r="L80" s="26"/>
      <c r="M80" s="26"/>
      <c r="N80" s="26"/>
      <c r="O80" s="96" t="str">
        <f t="shared" si="1"/>
        <v>-</v>
      </c>
      <c r="P80" s="98" t="str">
        <f t="shared" si="2"/>
        <v>-</v>
      </c>
    </row>
    <row r="81" spans="3:16" x14ac:dyDescent="0.25">
      <c r="C81" s="26"/>
      <c r="D81" s="116"/>
      <c r="E81" s="34"/>
      <c r="F81" s="93" t="str">
        <f t="shared" si="0"/>
        <v>-</v>
      </c>
      <c r="H81" s="117"/>
      <c r="I81" s="26"/>
      <c r="J81" s="102" t="str">
        <f>IFERROR(MIN('MP Calculations'!$E$29/I81,1),"-")</f>
        <v>-</v>
      </c>
      <c r="K81" s="37"/>
      <c r="L81" s="26"/>
      <c r="M81" s="26"/>
      <c r="N81" s="26"/>
      <c r="O81" s="96" t="str">
        <f t="shared" si="1"/>
        <v>-</v>
      </c>
      <c r="P81" s="98" t="str">
        <f t="shared" si="2"/>
        <v>-</v>
      </c>
    </row>
    <row r="82" spans="3:16" x14ac:dyDescent="0.25">
      <c r="C82" s="26"/>
      <c r="D82" s="116"/>
      <c r="E82" s="34"/>
      <c r="F82" s="93" t="str">
        <f t="shared" si="0"/>
        <v>-</v>
      </c>
      <c r="H82" s="117"/>
      <c r="I82" s="26"/>
      <c r="J82" s="102" t="str">
        <f>IFERROR(MIN('MP Calculations'!$E$29/I82,1),"-")</f>
        <v>-</v>
      </c>
      <c r="K82" s="37"/>
      <c r="L82" s="26"/>
      <c r="M82" s="26"/>
      <c r="N82" s="26"/>
      <c r="O82" s="96" t="str">
        <f t="shared" si="1"/>
        <v>-</v>
      </c>
      <c r="P82" s="98" t="str">
        <f t="shared" si="2"/>
        <v>-</v>
      </c>
    </row>
    <row r="83" spans="3:16" x14ac:dyDescent="0.25">
      <c r="C83" s="26"/>
      <c r="D83" s="116"/>
      <c r="E83" s="34"/>
      <c r="F83" s="93" t="str">
        <f t="shared" si="0"/>
        <v>-</v>
      </c>
      <c r="H83" s="117"/>
      <c r="I83" s="26"/>
      <c r="J83" s="102" t="str">
        <f>IFERROR(MIN('MP Calculations'!$E$29/I83,1),"-")</f>
        <v>-</v>
      </c>
      <c r="K83" s="37"/>
      <c r="L83" s="26"/>
      <c r="M83" s="26"/>
      <c r="N83" s="26"/>
      <c r="O83" s="96" t="str">
        <f t="shared" si="1"/>
        <v>-</v>
      </c>
      <c r="P83" s="98" t="str">
        <f t="shared" si="2"/>
        <v>-</v>
      </c>
    </row>
    <row r="84" spans="3:16" x14ac:dyDescent="0.25">
      <c r="C84" s="26"/>
      <c r="D84" s="116"/>
      <c r="E84" s="34"/>
      <c r="F84" s="93" t="str">
        <f t="shared" si="0"/>
        <v>-</v>
      </c>
      <c r="H84" s="117"/>
      <c r="I84" s="26"/>
      <c r="J84" s="102" t="str">
        <f>IFERROR(MIN('MP Calculations'!$E$29/I84,1),"-")</f>
        <v>-</v>
      </c>
      <c r="K84" s="37"/>
      <c r="L84" s="26"/>
      <c r="M84" s="26"/>
      <c r="N84" s="26"/>
      <c r="O84" s="96" t="str">
        <f t="shared" si="1"/>
        <v>-</v>
      </c>
      <c r="P84" s="98" t="str">
        <f t="shared" si="2"/>
        <v>-</v>
      </c>
    </row>
    <row r="85" spans="3:16" x14ac:dyDescent="0.25">
      <c r="C85" s="26"/>
      <c r="D85" s="116"/>
      <c r="E85" s="34"/>
      <c r="F85" s="93" t="str">
        <f t="shared" si="0"/>
        <v>-</v>
      </c>
      <c r="H85" s="117"/>
      <c r="I85" s="26"/>
      <c r="J85" s="102" t="str">
        <f>IFERROR(MIN('MP Calculations'!$E$29/I85,1),"-")</f>
        <v>-</v>
      </c>
      <c r="K85" s="37"/>
      <c r="L85" s="26"/>
      <c r="M85" s="26"/>
      <c r="N85" s="26"/>
      <c r="O85" s="96" t="str">
        <f t="shared" si="1"/>
        <v>-</v>
      </c>
      <c r="P85" s="98" t="str">
        <f t="shared" si="2"/>
        <v>-</v>
      </c>
    </row>
    <row r="86" spans="3:16" x14ac:dyDescent="0.25">
      <c r="C86" s="26"/>
      <c r="D86" s="116"/>
      <c r="E86" s="34"/>
      <c r="F86" s="93" t="str">
        <f t="shared" si="0"/>
        <v>-</v>
      </c>
      <c r="H86" s="117"/>
      <c r="I86" s="26"/>
      <c r="J86" s="102" t="str">
        <f>IFERROR(MIN('MP Calculations'!$E$29/I86,1),"-")</f>
        <v>-</v>
      </c>
      <c r="K86" s="37"/>
      <c r="L86" s="26"/>
      <c r="M86" s="26"/>
      <c r="N86" s="26"/>
      <c r="O86" s="96" t="str">
        <f t="shared" si="1"/>
        <v>-</v>
      </c>
      <c r="P86" s="98" t="str">
        <f t="shared" si="2"/>
        <v>-</v>
      </c>
    </row>
    <row r="87" spans="3:16" x14ac:dyDescent="0.25">
      <c r="C87" s="26"/>
      <c r="D87" s="116"/>
      <c r="E87" s="34"/>
      <c r="F87" s="93" t="str">
        <f t="shared" ref="F87:F218" si="3">IF(E87="","-",IF(E87&lt;$E$15,"ERROR - date outside of range",IF(MONTH(E87)&gt;=7,YEAR(E87)&amp;"-"&amp;RIGHT(YEAR(E87),2)+1,YEAR(E87)-1&amp;"-"&amp;RIGHT(YEAR(E87),2))))</f>
        <v>-</v>
      </c>
      <c r="H87" s="117"/>
      <c r="I87" s="26"/>
      <c r="J87" s="102" t="str">
        <f>IFERROR(MIN('MP Calculations'!$E$29/I87,1),"-")</f>
        <v>-</v>
      </c>
      <c r="K87" s="37"/>
      <c r="L87" s="26"/>
      <c r="M87" s="26"/>
      <c r="N87" s="26"/>
      <c r="O87" s="96" t="str">
        <f t="shared" ref="O87:O150" si="4">IF(N87="","-",L87*N87)</f>
        <v>-</v>
      </c>
      <c r="P87" s="98" t="str">
        <f t="shared" ref="P87:P218" si="5">IF(O87="-","-",IF(E87&lt;$E$15,0,O87*J87))</f>
        <v>-</v>
      </c>
    </row>
    <row r="88" spans="3:16" x14ac:dyDescent="0.25">
      <c r="C88" s="26"/>
      <c r="D88" s="116"/>
      <c r="E88" s="34"/>
      <c r="F88" s="93" t="str">
        <f t="shared" si="3"/>
        <v>-</v>
      </c>
      <c r="H88" s="117"/>
      <c r="I88" s="26"/>
      <c r="J88" s="102" t="str">
        <f>IFERROR(MIN('MP Calculations'!$E$29/I88,1),"-")</f>
        <v>-</v>
      </c>
      <c r="K88" s="37"/>
      <c r="L88" s="26"/>
      <c r="M88" s="26"/>
      <c r="N88" s="26"/>
      <c r="O88" s="96" t="str">
        <f t="shared" si="4"/>
        <v>-</v>
      </c>
      <c r="P88" s="98" t="str">
        <f t="shared" si="5"/>
        <v>-</v>
      </c>
    </row>
    <row r="89" spans="3:16" x14ac:dyDescent="0.25">
      <c r="C89" s="26"/>
      <c r="D89" s="116"/>
      <c r="E89" s="34"/>
      <c r="F89" s="93" t="str">
        <f t="shared" si="3"/>
        <v>-</v>
      </c>
      <c r="H89" s="117"/>
      <c r="I89" s="26"/>
      <c r="J89" s="102" t="str">
        <f>IFERROR(MIN('MP Calculations'!$E$29/I89,1),"-")</f>
        <v>-</v>
      </c>
      <c r="K89" s="37"/>
      <c r="L89" s="26"/>
      <c r="M89" s="26"/>
      <c r="N89" s="26"/>
      <c r="O89" s="96" t="str">
        <f t="shared" si="4"/>
        <v>-</v>
      </c>
      <c r="P89" s="98" t="str">
        <f t="shared" si="5"/>
        <v>-</v>
      </c>
    </row>
    <row r="90" spans="3:16" x14ac:dyDescent="0.25">
      <c r="C90" s="26"/>
      <c r="D90" s="116"/>
      <c r="E90" s="34"/>
      <c r="F90" s="93" t="str">
        <f t="shared" si="3"/>
        <v>-</v>
      </c>
      <c r="H90" s="117"/>
      <c r="I90" s="26"/>
      <c r="J90" s="102" t="str">
        <f>IFERROR(MIN('MP Calculations'!$E$29/I90,1),"-")</f>
        <v>-</v>
      </c>
      <c r="K90" s="37"/>
      <c r="L90" s="26"/>
      <c r="M90" s="26"/>
      <c r="N90" s="26"/>
      <c r="O90" s="96" t="str">
        <f t="shared" si="4"/>
        <v>-</v>
      </c>
      <c r="P90" s="98" t="str">
        <f t="shared" si="5"/>
        <v>-</v>
      </c>
    </row>
    <row r="91" spans="3:16" x14ac:dyDescent="0.25">
      <c r="C91" s="26"/>
      <c r="D91" s="116"/>
      <c r="E91" s="34"/>
      <c r="F91" s="93" t="str">
        <f t="shared" si="3"/>
        <v>-</v>
      </c>
      <c r="H91" s="117"/>
      <c r="I91" s="26"/>
      <c r="J91" s="102" t="str">
        <f>IFERROR(MIN('MP Calculations'!$E$29/I91,1),"-")</f>
        <v>-</v>
      </c>
      <c r="K91" s="37"/>
      <c r="L91" s="26"/>
      <c r="M91" s="26"/>
      <c r="N91" s="26"/>
      <c r="O91" s="96" t="str">
        <f t="shared" si="4"/>
        <v>-</v>
      </c>
      <c r="P91" s="98" t="str">
        <f t="shared" si="5"/>
        <v>-</v>
      </c>
    </row>
    <row r="92" spans="3:16" x14ac:dyDescent="0.25">
      <c r="C92" s="26"/>
      <c r="D92" s="116"/>
      <c r="E92" s="34"/>
      <c r="F92" s="93" t="str">
        <f t="shared" si="3"/>
        <v>-</v>
      </c>
      <c r="H92" s="117"/>
      <c r="I92" s="26"/>
      <c r="J92" s="102" t="str">
        <f>IFERROR(MIN('MP Calculations'!$E$29/I92,1),"-")</f>
        <v>-</v>
      </c>
      <c r="K92" s="37"/>
      <c r="L92" s="26"/>
      <c r="M92" s="26"/>
      <c r="N92" s="26"/>
      <c r="O92" s="96" t="str">
        <f t="shared" si="4"/>
        <v>-</v>
      </c>
      <c r="P92" s="98" t="str">
        <f t="shared" si="5"/>
        <v>-</v>
      </c>
    </row>
    <row r="93" spans="3:16" x14ac:dyDescent="0.25">
      <c r="C93" s="26"/>
      <c r="D93" s="116"/>
      <c r="E93" s="34"/>
      <c r="F93" s="93" t="str">
        <f t="shared" si="3"/>
        <v>-</v>
      </c>
      <c r="H93" s="117"/>
      <c r="I93" s="26"/>
      <c r="J93" s="102" t="str">
        <f>IFERROR(MIN('MP Calculations'!$E$29/I93,1),"-")</f>
        <v>-</v>
      </c>
      <c r="K93" s="37"/>
      <c r="L93" s="26"/>
      <c r="M93" s="26"/>
      <c r="N93" s="26"/>
      <c r="O93" s="96" t="str">
        <f t="shared" si="4"/>
        <v>-</v>
      </c>
      <c r="P93" s="98" t="str">
        <f t="shared" si="5"/>
        <v>-</v>
      </c>
    </row>
    <row r="94" spans="3:16" x14ac:dyDescent="0.25">
      <c r="C94" s="26"/>
      <c r="D94" s="116"/>
      <c r="E94" s="34"/>
      <c r="F94" s="93" t="str">
        <f t="shared" si="3"/>
        <v>-</v>
      </c>
      <c r="H94" s="117"/>
      <c r="I94" s="26"/>
      <c r="J94" s="102" t="str">
        <f>IFERROR(MIN('MP Calculations'!$E$29/I94,1),"-")</f>
        <v>-</v>
      </c>
      <c r="K94" s="37"/>
      <c r="L94" s="26"/>
      <c r="M94" s="26"/>
      <c r="N94" s="26"/>
      <c r="O94" s="96" t="str">
        <f t="shared" si="4"/>
        <v>-</v>
      </c>
      <c r="P94" s="98" t="str">
        <f t="shared" si="5"/>
        <v>-</v>
      </c>
    </row>
    <row r="95" spans="3:16" x14ac:dyDescent="0.25">
      <c r="C95" s="26"/>
      <c r="D95" s="116"/>
      <c r="E95" s="34"/>
      <c r="F95" s="93" t="str">
        <f t="shared" si="3"/>
        <v>-</v>
      </c>
      <c r="H95" s="117"/>
      <c r="I95" s="26"/>
      <c r="J95" s="102" t="str">
        <f>IFERROR(MIN('MP Calculations'!$E$29/I95,1),"-")</f>
        <v>-</v>
      </c>
      <c r="K95" s="37"/>
      <c r="L95" s="26"/>
      <c r="M95" s="26"/>
      <c r="N95" s="26"/>
      <c r="O95" s="96" t="str">
        <f t="shared" si="4"/>
        <v>-</v>
      </c>
      <c r="P95" s="98" t="str">
        <f t="shared" si="5"/>
        <v>-</v>
      </c>
    </row>
    <row r="96" spans="3:16" x14ac:dyDescent="0.25">
      <c r="C96" s="26"/>
      <c r="D96" s="116"/>
      <c r="E96" s="34"/>
      <c r="F96" s="93" t="str">
        <f t="shared" si="3"/>
        <v>-</v>
      </c>
      <c r="H96" s="117"/>
      <c r="I96" s="26"/>
      <c r="J96" s="102" t="str">
        <f>IFERROR(MIN('MP Calculations'!$E$29/I96,1),"-")</f>
        <v>-</v>
      </c>
      <c r="K96" s="37"/>
      <c r="L96" s="26"/>
      <c r="M96" s="26"/>
      <c r="N96" s="26"/>
      <c r="O96" s="96" t="str">
        <f t="shared" si="4"/>
        <v>-</v>
      </c>
      <c r="P96" s="98" t="str">
        <f t="shared" si="5"/>
        <v>-</v>
      </c>
    </row>
    <row r="97" spans="3:16" x14ac:dyDescent="0.25">
      <c r="C97" s="26"/>
      <c r="D97" s="116"/>
      <c r="E97" s="34"/>
      <c r="F97" s="93" t="str">
        <f t="shared" si="3"/>
        <v>-</v>
      </c>
      <c r="H97" s="117"/>
      <c r="I97" s="26"/>
      <c r="J97" s="102" t="str">
        <f>IFERROR(MIN('MP Calculations'!$E$29/I97,1),"-")</f>
        <v>-</v>
      </c>
      <c r="K97" s="37"/>
      <c r="L97" s="26"/>
      <c r="M97" s="26"/>
      <c r="N97" s="26"/>
      <c r="O97" s="96" t="str">
        <f t="shared" si="4"/>
        <v>-</v>
      </c>
      <c r="P97" s="98" t="str">
        <f t="shared" si="5"/>
        <v>-</v>
      </c>
    </row>
    <row r="98" spans="3:16" x14ac:dyDescent="0.25">
      <c r="C98" s="26"/>
      <c r="D98" s="116"/>
      <c r="E98" s="34"/>
      <c r="F98" s="93" t="str">
        <f t="shared" si="3"/>
        <v>-</v>
      </c>
      <c r="H98" s="117"/>
      <c r="I98" s="26"/>
      <c r="J98" s="102" t="str">
        <f>IFERROR(MIN('MP Calculations'!$E$29/I98,1),"-")</f>
        <v>-</v>
      </c>
      <c r="K98" s="37"/>
      <c r="L98" s="26"/>
      <c r="M98" s="26"/>
      <c r="N98" s="26"/>
      <c r="O98" s="96" t="str">
        <f t="shared" si="4"/>
        <v>-</v>
      </c>
      <c r="P98" s="98" t="str">
        <f t="shared" si="5"/>
        <v>-</v>
      </c>
    </row>
    <row r="99" spans="3:16" x14ac:dyDescent="0.25">
      <c r="C99" s="26"/>
      <c r="D99" s="116"/>
      <c r="E99" s="34"/>
      <c r="F99" s="93" t="str">
        <f t="shared" si="3"/>
        <v>-</v>
      </c>
      <c r="H99" s="117"/>
      <c r="I99" s="26"/>
      <c r="J99" s="102" t="str">
        <f>IFERROR(MIN('MP Calculations'!$E$29/I99,1),"-")</f>
        <v>-</v>
      </c>
      <c r="K99" s="37"/>
      <c r="L99" s="26"/>
      <c r="M99" s="26"/>
      <c r="N99" s="26"/>
      <c r="O99" s="96" t="str">
        <f t="shared" si="4"/>
        <v>-</v>
      </c>
      <c r="P99" s="98" t="str">
        <f t="shared" si="5"/>
        <v>-</v>
      </c>
    </row>
    <row r="100" spans="3:16" x14ac:dyDescent="0.25">
      <c r="C100" s="26"/>
      <c r="D100" s="116"/>
      <c r="E100" s="34"/>
      <c r="F100" s="93" t="str">
        <f t="shared" si="3"/>
        <v>-</v>
      </c>
      <c r="H100" s="117"/>
      <c r="I100" s="26"/>
      <c r="J100" s="102" t="str">
        <f>IFERROR(MIN('MP Calculations'!$E$29/I100,1),"-")</f>
        <v>-</v>
      </c>
      <c r="K100" s="37"/>
      <c r="L100" s="26"/>
      <c r="M100" s="26"/>
      <c r="N100" s="26"/>
      <c r="O100" s="96" t="str">
        <f t="shared" si="4"/>
        <v>-</v>
      </c>
      <c r="P100" s="98" t="str">
        <f t="shared" si="5"/>
        <v>-</v>
      </c>
    </row>
    <row r="101" spans="3:16" x14ac:dyDescent="0.25">
      <c r="C101" s="26"/>
      <c r="D101" s="116"/>
      <c r="E101" s="34"/>
      <c r="F101" s="93" t="str">
        <f t="shared" si="3"/>
        <v>-</v>
      </c>
      <c r="H101" s="117"/>
      <c r="I101" s="26"/>
      <c r="J101" s="102" t="str">
        <f>IFERROR(MIN('MP Calculations'!$E$29/I101,1),"-")</f>
        <v>-</v>
      </c>
      <c r="K101" s="37"/>
      <c r="L101" s="26"/>
      <c r="M101" s="26"/>
      <c r="N101" s="26"/>
      <c r="O101" s="96" t="str">
        <f t="shared" si="4"/>
        <v>-</v>
      </c>
      <c r="P101" s="98" t="str">
        <f t="shared" si="5"/>
        <v>-</v>
      </c>
    </row>
    <row r="102" spans="3:16" x14ac:dyDescent="0.25">
      <c r="C102" s="26"/>
      <c r="D102" s="116"/>
      <c r="E102" s="34"/>
      <c r="F102" s="93" t="str">
        <f t="shared" si="3"/>
        <v>-</v>
      </c>
      <c r="H102" s="117"/>
      <c r="I102" s="26"/>
      <c r="J102" s="102" t="str">
        <f>IFERROR(MIN('MP Calculations'!$E$29/I102,1),"-")</f>
        <v>-</v>
      </c>
      <c r="K102" s="37"/>
      <c r="L102" s="26"/>
      <c r="M102" s="26"/>
      <c r="N102" s="26"/>
      <c r="O102" s="96" t="str">
        <f t="shared" si="4"/>
        <v>-</v>
      </c>
      <c r="P102" s="98" t="str">
        <f t="shared" si="5"/>
        <v>-</v>
      </c>
    </row>
    <row r="103" spans="3:16" x14ac:dyDescent="0.25">
      <c r="C103" s="26"/>
      <c r="D103" s="116"/>
      <c r="E103" s="34"/>
      <c r="F103" s="93" t="str">
        <f t="shared" si="3"/>
        <v>-</v>
      </c>
      <c r="H103" s="117"/>
      <c r="I103" s="26"/>
      <c r="J103" s="102" t="str">
        <f>IFERROR(MIN('MP Calculations'!$E$29/I103,1),"-")</f>
        <v>-</v>
      </c>
      <c r="K103" s="37"/>
      <c r="L103" s="26"/>
      <c r="M103" s="26"/>
      <c r="N103" s="26"/>
      <c r="O103" s="96" t="str">
        <f t="shared" si="4"/>
        <v>-</v>
      </c>
      <c r="P103" s="98" t="str">
        <f t="shared" si="5"/>
        <v>-</v>
      </c>
    </row>
    <row r="104" spans="3:16" x14ac:dyDescent="0.25">
      <c r="C104" s="26"/>
      <c r="D104" s="116"/>
      <c r="E104" s="34"/>
      <c r="F104" s="93" t="str">
        <f t="shared" si="3"/>
        <v>-</v>
      </c>
      <c r="H104" s="117"/>
      <c r="I104" s="26"/>
      <c r="J104" s="102" t="str">
        <f>IFERROR(MIN('MP Calculations'!$E$29/I104,1),"-")</f>
        <v>-</v>
      </c>
      <c r="K104" s="37"/>
      <c r="L104" s="26"/>
      <c r="M104" s="26"/>
      <c r="N104" s="26"/>
      <c r="O104" s="96" t="str">
        <f t="shared" si="4"/>
        <v>-</v>
      </c>
      <c r="P104" s="98" t="str">
        <f t="shared" si="5"/>
        <v>-</v>
      </c>
    </row>
    <row r="105" spans="3:16" x14ac:dyDescent="0.25">
      <c r="C105" s="26"/>
      <c r="D105" s="116"/>
      <c r="E105" s="34"/>
      <c r="F105" s="93" t="str">
        <f t="shared" si="3"/>
        <v>-</v>
      </c>
      <c r="H105" s="117"/>
      <c r="I105" s="26"/>
      <c r="J105" s="102" t="str">
        <f>IFERROR(MIN('MP Calculations'!$E$29/I105,1),"-")</f>
        <v>-</v>
      </c>
      <c r="K105" s="37"/>
      <c r="L105" s="26"/>
      <c r="M105" s="26"/>
      <c r="N105" s="26"/>
      <c r="O105" s="96" t="str">
        <f t="shared" si="4"/>
        <v>-</v>
      </c>
      <c r="P105" s="98" t="str">
        <f t="shared" si="5"/>
        <v>-</v>
      </c>
    </row>
    <row r="106" spans="3:16" x14ac:dyDescent="0.25">
      <c r="C106" s="26"/>
      <c r="D106" s="116"/>
      <c r="E106" s="34"/>
      <c r="F106" s="93" t="str">
        <f t="shared" si="3"/>
        <v>-</v>
      </c>
      <c r="H106" s="117"/>
      <c r="I106" s="26"/>
      <c r="J106" s="102" t="str">
        <f>IFERROR(MIN('MP Calculations'!$E$29/I106,1),"-")</f>
        <v>-</v>
      </c>
      <c r="K106" s="37"/>
      <c r="L106" s="26"/>
      <c r="M106" s="26"/>
      <c r="N106" s="26"/>
      <c r="O106" s="96" t="str">
        <f t="shared" si="4"/>
        <v>-</v>
      </c>
      <c r="P106" s="98" t="str">
        <f t="shared" si="5"/>
        <v>-</v>
      </c>
    </row>
    <row r="107" spans="3:16" x14ac:dyDescent="0.25">
      <c r="C107" s="26"/>
      <c r="D107" s="116"/>
      <c r="E107" s="34"/>
      <c r="F107" s="93" t="str">
        <f t="shared" si="3"/>
        <v>-</v>
      </c>
      <c r="H107" s="117"/>
      <c r="I107" s="26"/>
      <c r="J107" s="102" t="str">
        <f>IFERROR(MIN('MP Calculations'!$E$29/I107,1),"-")</f>
        <v>-</v>
      </c>
      <c r="K107" s="37"/>
      <c r="L107" s="26"/>
      <c r="M107" s="26"/>
      <c r="N107" s="26"/>
      <c r="O107" s="96" t="str">
        <f t="shared" si="4"/>
        <v>-</v>
      </c>
      <c r="P107" s="98" t="str">
        <f t="shared" si="5"/>
        <v>-</v>
      </c>
    </row>
    <row r="108" spans="3:16" x14ac:dyDescent="0.25">
      <c r="C108" s="26"/>
      <c r="D108" s="116"/>
      <c r="E108" s="34"/>
      <c r="F108" s="93" t="str">
        <f t="shared" si="3"/>
        <v>-</v>
      </c>
      <c r="H108" s="117"/>
      <c r="I108" s="26"/>
      <c r="J108" s="102" t="str">
        <f>IFERROR(MIN('MP Calculations'!$E$29/I108,1),"-")</f>
        <v>-</v>
      </c>
      <c r="K108" s="37"/>
      <c r="L108" s="26"/>
      <c r="M108" s="26"/>
      <c r="N108" s="26"/>
      <c r="O108" s="96" t="str">
        <f t="shared" si="4"/>
        <v>-</v>
      </c>
      <c r="P108" s="98" t="str">
        <f t="shared" si="5"/>
        <v>-</v>
      </c>
    </row>
    <row r="109" spans="3:16" x14ac:dyDescent="0.25">
      <c r="C109" s="26"/>
      <c r="D109" s="116"/>
      <c r="E109" s="34"/>
      <c r="F109" s="93" t="str">
        <f t="shared" si="3"/>
        <v>-</v>
      </c>
      <c r="H109" s="117"/>
      <c r="I109" s="26"/>
      <c r="J109" s="102" t="str">
        <f>IFERROR(MIN('MP Calculations'!$E$29/I109,1),"-")</f>
        <v>-</v>
      </c>
      <c r="K109" s="37"/>
      <c r="L109" s="26"/>
      <c r="M109" s="26"/>
      <c r="N109" s="26"/>
      <c r="O109" s="96" t="str">
        <f t="shared" si="4"/>
        <v>-</v>
      </c>
      <c r="P109" s="98" t="str">
        <f t="shared" si="5"/>
        <v>-</v>
      </c>
    </row>
    <row r="110" spans="3:16" x14ac:dyDescent="0.25">
      <c r="C110" s="26"/>
      <c r="D110" s="116"/>
      <c r="E110" s="34"/>
      <c r="F110" s="93" t="str">
        <f t="shared" si="3"/>
        <v>-</v>
      </c>
      <c r="H110" s="117"/>
      <c r="I110" s="26"/>
      <c r="J110" s="102" t="str">
        <f>IFERROR(MIN('MP Calculations'!$E$29/I110,1),"-")</f>
        <v>-</v>
      </c>
      <c r="K110" s="37"/>
      <c r="L110" s="26"/>
      <c r="M110" s="26"/>
      <c r="N110" s="26"/>
      <c r="O110" s="96" t="str">
        <f t="shared" si="4"/>
        <v>-</v>
      </c>
      <c r="P110" s="98" t="str">
        <f t="shared" si="5"/>
        <v>-</v>
      </c>
    </row>
    <row r="111" spans="3:16" x14ac:dyDescent="0.25">
      <c r="C111" s="26"/>
      <c r="D111" s="116"/>
      <c r="E111" s="34"/>
      <c r="F111" s="93" t="str">
        <f t="shared" si="3"/>
        <v>-</v>
      </c>
      <c r="H111" s="117"/>
      <c r="I111" s="26"/>
      <c r="J111" s="102" t="str">
        <f>IFERROR(MIN('MP Calculations'!$E$29/I111,1),"-")</f>
        <v>-</v>
      </c>
      <c r="K111" s="37"/>
      <c r="L111" s="26"/>
      <c r="M111" s="26"/>
      <c r="N111" s="26"/>
      <c r="O111" s="96" t="str">
        <f t="shared" si="4"/>
        <v>-</v>
      </c>
      <c r="P111" s="98" t="str">
        <f t="shared" si="5"/>
        <v>-</v>
      </c>
    </row>
    <row r="112" spans="3:16" x14ac:dyDescent="0.25">
      <c r="C112" s="26"/>
      <c r="D112" s="116"/>
      <c r="E112" s="34"/>
      <c r="F112" s="93" t="str">
        <f t="shared" si="3"/>
        <v>-</v>
      </c>
      <c r="H112" s="117"/>
      <c r="I112" s="26"/>
      <c r="J112" s="102" t="str">
        <f>IFERROR(MIN('MP Calculations'!$E$29/I112,1),"-")</f>
        <v>-</v>
      </c>
      <c r="K112" s="37"/>
      <c r="L112" s="26"/>
      <c r="M112" s="26"/>
      <c r="N112" s="26"/>
      <c r="O112" s="96" t="str">
        <f t="shared" si="4"/>
        <v>-</v>
      </c>
      <c r="P112" s="98" t="str">
        <f t="shared" si="5"/>
        <v>-</v>
      </c>
    </row>
    <row r="113" spans="3:16" x14ac:dyDescent="0.25">
      <c r="C113" s="26"/>
      <c r="D113" s="116"/>
      <c r="E113" s="34"/>
      <c r="F113" s="93" t="str">
        <f t="shared" si="3"/>
        <v>-</v>
      </c>
      <c r="H113" s="117"/>
      <c r="I113" s="26"/>
      <c r="J113" s="102" t="str">
        <f>IFERROR(MIN('MP Calculations'!$E$29/I113,1),"-")</f>
        <v>-</v>
      </c>
      <c r="K113" s="37"/>
      <c r="L113" s="26"/>
      <c r="M113" s="26"/>
      <c r="N113" s="26"/>
      <c r="O113" s="96" t="str">
        <f t="shared" si="4"/>
        <v>-</v>
      </c>
      <c r="P113" s="98" t="str">
        <f t="shared" si="5"/>
        <v>-</v>
      </c>
    </row>
    <row r="114" spans="3:16" x14ac:dyDescent="0.25">
      <c r="C114" s="26"/>
      <c r="D114" s="116"/>
      <c r="E114" s="34"/>
      <c r="F114" s="93" t="str">
        <f t="shared" si="3"/>
        <v>-</v>
      </c>
      <c r="H114" s="117"/>
      <c r="I114" s="26"/>
      <c r="J114" s="102" t="str">
        <f>IFERROR(MIN('MP Calculations'!$E$29/I114,1),"-")</f>
        <v>-</v>
      </c>
      <c r="K114" s="37"/>
      <c r="L114" s="26"/>
      <c r="M114" s="26"/>
      <c r="N114" s="26"/>
      <c r="O114" s="96" t="str">
        <f t="shared" si="4"/>
        <v>-</v>
      </c>
      <c r="P114" s="98" t="str">
        <f t="shared" si="5"/>
        <v>-</v>
      </c>
    </row>
    <row r="115" spans="3:16" x14ac:dyDescent="0.25">
      <c r="C115" s="26"/>
      <c r="D115" s="116"/>
      <c r="E115" s="34"/>
      <c r="F115" s="93" t="str">
        <f t="shared" si="3"/>
        <v>-</v>
      </c>
      <c r="H115" s="117"/>
      <c r="I115" s="26"/>
      <c r="J115" s="102" t="str">
        <f>IFERROR(MIN('MP Calculations'!$E$29/I115,1),"-")</f>
        <v>-</v>
      </c>
      <c r="K115" s="37"/>
      <c r="L115" s="26"/>
      <c r="M115" s="26"/>
      <c r="N115" s="26"/>
      <c r="O115" s="96" t="str">
        <f t="shared" si="4"/>
        <v>-</v>
      </c>
      <c r="P115" s="98" t="str">
        <f t="shared" si="5"/>
        <v>-</v>
      </c>
    </row>
    <row r="116" spans="3:16" x14ac:dyDescent="0.25">
      <c r="C116" s="26"/>
      <c r="D116" s="116"/>
      <c r="E116" s="34"/>
      <c r="F116" s="93" t="str">
        <f t="shared" si="3"/>
        <v>-</v>
      </c>
      <c r="H116" s="117"/>
      <c r="I116" s="26"/>
      <c r="J116" s="102" t="str">
        <f>IFERROR(MIN('MP Calculations'!$E$29/I116,1),"-")</f>
        <v>-</v>
      </c>
      <c r="K116" s="37"/>
      <c r="L116" s="26"/>
      <c r="M116" s="26"/>
      <c r="N116" s="26"/>
      <c r="O116" s="96" t="str">
        <f t="shared" si="4"/>
        <v>-</v>
      </c>
      <c r="P116" s="98" t="str">
        <f t="shared" si="5"/>
        <v>-</v>
      </c>
    </row>
    <row r="117" spans="3:16" x14ac:dyDescent="0.25">
      <c r="C117" s="26"/>
      <c r="D117" s="116"/>
      <c r="E117" s="34"/>
      <c r="F117" s="93" t="str">
        <f t="shared" si="3"/>
        <v>-</v>
      </c>
      <c r="H117" s="117"/>
      <c r="I117" s="26"/>
      <c r="J117" s="102" t="str">
        <f>IFERROR(MIN('MP Calculations'!$E$29/I117,1),"-")</f>
        <v>-</v>
      </c>
      <c r="K117" s="37"/>
      <c r="L117" s="26"/>
      <c r="M117" s="26"/>
      <c r="N117" s="26"/>
      <c r="O117" s="96" t="str">
        <f t="shared" si="4"/>
        <v>-</v>
      </c>
      <c r="P117" s="98" t="str">
        <f t="shared" si="5"/>
        <v>-</v>
      </c>
    </row>
    <row r="118" spans="3:16" x14ac:dyDescent="0.25">
      <c r="C118" s="26"/>
      <c r="D118" s="116"/>
      <c r="E118" s="34"/>
      <c r="F118" s="93" t="str">
        <f t="shared" si="3"/>
        <v>-</v>
      </c>
      <c r="H118" s="117"/>
      <c r="I118" s="26"/>
      <c r="J118" s="102" t="str">
        <f>IFERROR(MIN('MP Calculations'!$E$29/I118,1),"-")</f>
        <v>-</v>
      </c>
      <c r="K118" s="37"/>
      <c r="L118" s="26"/>
      <c r="M118" s="26"/>
      <c r="N118" s="26"/>
      <c r="O118" s="96" t="str">
        <f t="shared" si="4"/>
        <v>-</v>
      </c>
      <c r="P118" s="98" t="str">
        <f t="shared" si="5"/>
        <v>-</v>
      </c>
    </row>
    <row r="119" spans="3:16" x14ac:dyDescent="0.25">
      <c r="C119" s="26"/>
      <c r="D119" s="116"/>
      <c r="E119" s="34"/>
      <c r="F119" s="93" t="str">
        <f t="shared" si="3"/>
        <v>-</v>
      </c>
      <c r="H119" s="117"/>
      <c r="I119" s="26"/>
      <c r="J119" s="102" t="str">
        <f>IFERROR(MIN('MP Calculations'!$E$29/I119,1),"-")</f>
        <v>-</v>
      </c>
      <c r="K119" s="37"/>
      <c r="L119" s="26"/>
      <c r="M119" s="26"/>
      <c r="N119" s="26"/>
      <c r="O119" s="96" t="str">
        <f t="shared" si="4"/>
        <v>-</v>
      </c>
      <c r="P119" s="98" t="str">
        <f t="shared" si="5"/>
        <v>-</v>
      </c>
    </row>
    <row r="120" spans="3:16" x14ac:dyDescent="0.25">
      <c r="C120" s="26"/>
      <c r="D120" s="116"/>
      <c r="E120" s="34"/>
      <c r="F120" s="93" t="str">
        <f t="shared" ref="F120:F183" si="6">IF(E120="","-",IF(E120&lt;$E$15,"ERROR - date outside of range",IF(MONTH(E120)&gt;=7,YEAR(E120)&amp;"-"&amp;RIGHT(YEAR(E120),2)+1,YEAR(E120)-1&amp;"-"&amp;RIGHT(YEAR(E120),2))))</f>
        <v>-</v>
      </c>
      <c r="H120" s="117"/>
      <c r="I120" s="26"/>
      <c r="J120" s="102" t="str">
        <f>IFERROR(MIN('MP Calculations'!$E$29/I120,1),"-")</f>
        <v>-</v>
      </c>
      <c r="K120" s="37"/>
      <c r="L120" s="26"/>
      <c r="M120" s="26"/>
      <c r="N120" s="26"/>
      <c r="O120" s="96" t="str">
        <f t="shared" si="4"/>
        <v>-</v>
      </c>
      <c r="P120" s="98" t="str">
        <f t="shared" ref="P120:P183" si="7">IF(O120="-","-",IF(E120&lt;$E$15,0,O120*J120))</f>
        <v>-</v>
      </c>
    </row>
    <row r="121" spans="3:16" x14ac:dyDescent="0.25">
      <c r="C121" s="26"/>
      <c r="D121" s="116"/>
      <c r="E121" s="34"/>
      <c r="F121" s="93" t="str">
        <f t="shared" si="6"/>
        <v>-</v>
      </c>
      <c r="H121" s="117"/>
      <c r="I121" s="26"/>
      <c r="J121" s="102" t="str">
        <f>IFERROR(MIN('MP Calculations'!$E$29/I121,1),"-")</f>
        <v>-</v>
      </c>
      <c r="K121" s="37"/>
      <c r="L121" s="26"/>
      <c r="M121" s="26"/>
      <c r="N121" s="26"/>
      <c r="O121" s="96" t="str">
        <f t="shared" si="4"/>
        <v>-</v>
      </c>
      <c r="P121" s="98" t="str">
        <f t="shared" si="7"/>
        <v>-</v>
      </c>
    </row>
    <row r="122" spans="3:16" x14ac:dyDescent="0.25">
      <c r="C122" s="26"/>
      <c r="D122" s="116"/>
      <c r="E122" s="34"/>
      <c r="F122" s="93" t="str">
        <f t="shared" si="6"/>
        <v>-</v>
      </c>
      <c r="H122" s="117"/>
      <c r="I122" s="26"/>
      <c r="J122" s="102" t="str">
        <f>IFERROR(MIN('MP Calculations'!$E$29/I122,1),"-")</f>
        <v>-</v>
      </c>
      <c r="K122" s="37"/>
      <c r="L122" s="26"/>
      <c r="M122" s="26"/>
      <c r="N122" s="26"/>
      <c r="O122" s="96" t="str">
        <f t="shared" si="4"/>
        <v>-</v>
      </c>
      <c r="P122" s="98" t="str">
        <f t="shared" si="7"/>
        <v>-</v>
      </c>
    </row>
    <row r="123" spans="3:16" x14ac:dyDescent="0.25">
      <c r="C123" s="26"/>
      <c r="D123" s="116"/>
      <c r="E123" s="34"/>
      <c r="F123" s="93" t="str">
        <f t="shared" si="6"/>
        <v>-</v>
      </c>
      <c r="H123" s="117"/>
      <c r="I123" s="26"/>
      <c r="J123" s="102" t="str">
        <f>IFERROR(MIN('MP Calculations'!$E$29/I123,1),"-")</f>
        <v>-</v>
      </c>
      <c r="K123" s="37"/>
      <c r="L123" s="26"/>
      <c r="M123" s="26"/>
      <c r="N123" s="26"/>
      <c r="O123" s="96" t="str">
        <f t="shared" si="4"/>
        <v>-</v>
      </c>
      <c r="P123" s="98" t="str">
        <f t="shared" si="7"/>
        <v>-</v>
      </c>
    </row>
    <row r="124" spans="3:16" x14ac:dyDescent="0.25">
      <c r="C124" s="26"/>
      <c r="D124" s="116"/>
      <c r="E124" s="34"/>
      <c r="F124" s="93" t="str">
        <f t="shared" si="6"/>
        <v>-</v>
      </c>
      <c r="H124" s="117"/>
      <c r="I124" s="26"/>
      <c r="J124" s="102" t="str">
        <f>IFERROR(MIN('MP Calculations'!$E$29/I124,1),"-")</f>
        <v>-</v>
      </c>
      <c r="K124" s="37"/>
      <c r="L124" s="26"/>
      <c r="M124" s="26"/>
      <c r="N124" s="26"/>
      <c r="O124" s="96" t="str">
        <f t="shared" si="4"/>
        <v>-</v>
      </c>
      <c r="P124" s="98" t="str">
        <f t="shared" si="7"/>
        <v>-</v>
      </c>
    </row>
    <row r="125" spans="3:16" x14ac:dyDescent="0.25">
      <c r="C125" s="26"/>
      <c r="D125" s="116"/>
      <c r="E125" s="34"/>
      <c r="F125" s="93" t="str">
        <f t="shared" si="6"/>
        <v>-</v>
      </c>
      <c r="H125" s="117"/>
      <c r="I125" s="26"/>
      <c r="J125" s="102" t="str">
        <f>IFERROR(MIN('MP Calculations'!$E$29/I125,1),"-")</f>
        <v>-</v>
      </c>
      <c r="K125" s="37"/>
      <c r="L125" s="26"/>
      <c r="M125" s="26"/>
      <c r="N125" s="26"/>
      <c r="O125" s="96" t="str">
        <f t="shared" si="4"/>
        <v>-</v>
      </c>
      <c r="P125" s="98" t="str">
        <f t="shared" si="7"/>
        <v>-</v>
      </c>
    </row>
    <row r="126" spans="3:16" x14ac:dyDescent="0.25">
      <c r="C126" s="26"/>
      <c r="D126" s="116"/>
      <c r="E126" s="34"/>
      <c r="F126" s="93" t="str">
        <f t="shared" si="6"/>
        <v>-</v>
      </c>
      <c r="H126" s="117"/>
      <c r="I126" s="26"/>
      <c r="J126" s="102" t="str">
        <f>IFERROR(MIN('MP Calculations'!$E$29/I126,1),"-")</f>
        <v>-</v>
      </c>
      <c r="K126" s="37"/>
      <c r="L126" s="26"/>
      <c r="M126" s="26"/>
      <c r="N126" s="26"/>
      <c r="O126" s="96" t="str">
        <f t="shared" si="4"/>
        <v>-</v>
      </c>
      <c r="P126" s="98" t="str">
        <f t="shared" si="7"/>
        <v>-</v>
      </c>
    </row>
    <row r="127" spans="3:16" x14ac:dyDescent="0.25">
      <c r="C127" s="26"/>
      <c r="D127" s="116"/>
      <c r="E127" s="34"/>
      <c r="F127" s="93" t="str">
        <f t="shared" si="6"/>
        <v>-</v>
      </c>
      <c r="H127" s="117"/>
      <c r="I127" s="26"/>
      <c r="J127" s="102" t="str">
        <f>IFERROR(MIN('MP Calculations'!$E$29/I127,1),"-")</f>
        <v>-</v>
      </c>
      <c r="K127" s="37"/>
      <c r="L127" s="26"/>
      <c r="M127" s="26"/>
      <c r="N127" s="26"/>
      <c r="O127" s="96" t="str">
        <f t="shared" si="4"/>
        <v>-</v>
      </c>
      <c r="P127" s="98" t="str">
        <f t="shared" si="7"/>
        <v>-</v>
      </c>
    </row>
    <row r="128" spans="3:16" x14ac:dyDescent="0.25">
      <c r="C128" s="26"/>
      <c r="D128" s="116"/>
      <c r="E128" s="34"/>
      <c r="F128" s="93" t="str">
        <f t="shared" si="6"/>
        <v>-</v>
      </c>
      <c r="H128" s="117"/>
      <c r="I128" s="26"/>
      <c r="J128" s="102" t="str">
        <f>IFERROR(MIN('MP Calculations'!$E$29/I128,1),"-")</f>
        <v>-</v>
      </c>
      <c r="K128" s="37"/>
      <c r="L128" s="26"/>
      <c r="M128" s="26"/>
      <c r="N128" s="26"/>
      <c r="O128" s="96" t="str">
        <f t="shared" si="4"/>
        <v>-</v>
      </c>
      <c r="P128" s="98" t="str">
        <f t="shared" si="7"/>
        <v>-</v>
      </c>
    </row>
    <row r="129" spans="3:16" x14ac:dyDescent="0.25">
      <c r="C129" s="26"/>
      <c r="D129" s="116"/>
      <c r="E129" s="34"/>
      <c r="F129" s="93" t="str">
        <f t="shared" si="6"/>
        <v>-</v>
      </c>
      <c r="H129" s="117"/>
      <c r="I129" s="26"/>
      <c r="J129" s="102" t="str">
        <f>IFERROR(MIN('MP Calculations'!$E$29/I129,1),"-")</f>
        <v>-</v>
      </c>
      <c r="K129" s="37"/>
      <c r="L129" s="26"/>
      <c r="M129" s="26"/>
      <c r="N129" s="26"/>
      <c r="O129" s="96" t="str">
        <f t="shared" si="4"/>
        <v>-</v>
      </c>
      <c r="P129" s="98" t="str">
        <f t="shared" si="7"/>
        <v>-</v>
      </c>
    </row>
    <row r="130" spans="3:16" x14ac:dyDescent="0.25">
      <c r="C130" s="26"/>
      <c r="D130" s="116"/>
      <c r="E130" s="34"/>
      <c r="F130" s="93" t="str">
        <f t="shared" si="6"/>
        <v>-</v>
      </c>
      <c r="H130" s="117"/>
      <c r="I130" s="26"/>
      <c r="J130" s="102" t="str">
        <f>IFERROR(MIN('MP Calculations'!$E$29/I130,1),"-")</f>
        <v>-</v>
      </c>
      <c r="K130" s="37"/>
      <c r="L130" s="26"/>
      <c r="M130" s="26"/>
      <c r="N130" s="26"/>
      <c r="O130" s="96" t="str">
        <f t="shared" si="4"/>
        <v>-</v>
      </c>
      <c r="P130" s="98" t="str">
        <f t="shared" si="7"/>
        <v>-</v>
      </c>
    </row>
    <row r="131" spans="3:16" x14ac:dyDescent="0.25">
      <c r="C131" s="26"/>
      <c r="D131" s="116"/>
      <c r="E131" s="34"/>
      <c r="F131" s="93" t="str">
        <f t="shared" si="6"/>
        <v>-</v>
      </c>
      <c r="H131" s="117"/>
      <c r="I131" s="26"/>
      <c r="J131" s="102" t="str">
        <f>IFERROR(MIN('MP Calculations'!$E$29/I131,1),"-")</f>
        <v>-</v>
      </c>
      <c r="K131" s="37"/>
      <c r="L131" s="26"/>
      <c r="M131" s="26"/>
      <c r="N131" s="26"/>
      <c r="O131" s="96" t="str">
        <f t="shared" si="4"/>
        <v>-</v>
      </c>
      <c r="P131" s="98" t="str">
        <f t="shared" si="7"/>
        <v>-</v>
      </c>
    </row>
    <row r="132" spans="3:16" x14ac:dyDescent="0.25">
      <c r="C132" s="26"/>
      <c r="D132" s="116"/>
      <c r="E132" s="34"/>
      <c r="F132" s="93" t="str">
        <f t="shared" si="6"/>
        <v>-</v>
      </c>
      <c r="H132" s="117"/>
      <c r="I132" s="26"/>
      <c r="J132" s="102" t="str">
        <f>IFERROR(MIN('MP Calculations'!$E$29/I132,1),"-")</f>
        <v>-</v>
      </c>
      <c r="K132" s="37"/>
      <c r="L132" s="26"/>
      <c r="M132" s="26"/>
      <c r="N132" s="26"/>
      <c r="O132" s="96" t="str">
        <f t="shared" si="4"/>
        <v>-</v>
      </c>
      <c r="P132" s="98" t="str">
        <f t="shared" si="7"/>
        <v>-</v>
      </c>
    </row>
    <row r="133" spans="3:16" x14ac:dyDescent="0.25">
      <c r="C133" s="26"/>
      <c r="D133" s="116"/>
      <c r="E133" s="34"/>
      <c r="F133" s="93" t="str">
        <f t="shared" si="6"/>
        <v>-</v>
      </c>
      <c r="H133" s="117"/>
      <c r="I133" s="26"/>
      <c r="J133" s="102" t="str">
        <f>IFERROR(MIN('MP Calculations'!$E$29/I133,1),"-")</f>
        <v>-</v>
      </c>
      <c r="K133" s="37"/>
      <c r="L133" s="26"/>
      <c r="M133" s="26"/>
      <c r="N133" s="26"/>
      <c r="O133" s="96" t="str">
        <f t="shared" si="4"/>
        <v>-</v>
      </c>
      <c r="P133" s="98" t="str">
        <f t="shared" si="7"/>
        <v>-</v>
      </c>
    </row>
    <row r="134" spans="3:16" x14ac:dyDescent="0.25">
      <c r="C134" s="26"/>
      <c r="D134" s="116"/>
      <c r="E134" s="34"/>
      <c r="F134" s="93" t="str">
        <f t="shared" si="6"/>
        <v>-</v>
      </c>
      <c r="H134" s="117"/>
      <c r="I134" s="26"/>
      <c r="J134" s="102" t="str">
        <f>IFERROR(MIN('MP Calculations'!$E$29/I134,1),"-")</f>
        <v>-</v>
      </c>
      <c r="K134" s="37"/>
      <c r="L134" s="26"/>
      <c r="M134" s="26"/>
      <c r="N134" s="26"/>
      <c r="O134" s="96" t="str">
        <f t="shared" si="4"/>
        <v>-</v>
      </c>
      <c r="P134" s="98" t="str">
        <f t="shared" si="7"/>
        <v>-</v>
      </c>
    </row>
    <row r="135" spans="3:16" x14ac:dyDescent="0.25">
      <c r="C135" s="26"/>
      <c r="D135" s="116"/>
      <c r="E135" s="34"/>
      <c r="F135" s="93" t="str">
        <f t="shared" si="6"/>
        <v>-</v>
      </c>
      <c r="H135" s="117"/>
      <c r="I135" s="26"/>
      <c r="J135" s="102" t="str">
        <f>IFERROR(MIN('MP Calculations'!$E$29/I135,1),"-")</f>
        <v>-</v>
      </c>
      <c r="K135" s="37"/>
      <c r="L135" s="26"/>
      <c r="M135" s="26"/>
      <c r="N135" s="26"/>
      <c r="O135" s="96" t="str">
        <f t="shared" si="4"/>
        <v>-</v>
      </c>
      <c r="P135" s="98" t="str">
        <f t="shared" si="7"/>
        <v>-</v>
      </c>
    </row>
    <row r="136" spans="3:16" x14ac:dyDescent="0.25">
      <c r="C136" s="26"/>
      <c r="D136" s="116"/>
      <c r="E136" s="34"/>
      <c r="F136" s="93" t="str">
        <f t="shared" si="6"/>
        <v>-</v>
      </c>
      <c r="H136" s="117"/>
      <c r="I136" s="26"/>
      <c r="J136" s="102" t="str">
        <f>IFERROR(MIN('MP Calculations'!$E$29/I136,1),"-")</f>
        <v>-</v>
      </c>
      <c r="K136" s="37"/>
      <c r="L136" s="26"/>
      <c r="M136" s="26"/>
      <c r="N136" s="26"/>
      <c r="O136" s="96" t="str">
        <f t="shared" si="4"/>
        <v>-</v>
      </c>
      <c r="P136" s="98" t="str">
        <f t="shared" si="7"/>
        <v>-</v>
      </c>
    </row>
    <row r="137" spans="3:16" x14ac:dyDescent="0.25">
      <c r="C137" s="26"/>
      <c r="D137" s="116"/>
      <c r="E137" s="34"/>
      <c r="F137" s="93" t="str">
        <f t="shared" si="6"/>
        <v>-</v>
      </c>
      <c r="H137" s="117"/>
      <c r="I137" s="26"/>
      <c r="J137" s="102" t="str">
        <f>IFERROR(MIN('MP Calculations'!$E$29/I137,1),"-")</f>
        <v>-</v>
      </c>
      <c r="K137" s="37"/>
      <c r="L137" s="26"/>
      <c r="M137" s="26"/>
      <c r="N137" s="26"/>
      <c r="O137" s="96" t="str">
        <f t="shared" si="4"/>
        <v>-</v>
      </c>
      <c r="P137" s="98" t="str">
        <f t="shared" si="7"/>
        <v>-</v>
      </c>
    </row>
    <row r="138" spans="3:16" x14ac:dyDescent="0.25">
      <c r="C138" s="26"/>
      <c r="D138" s="116"/>
      <c r="E138" s="34"/>
      <c r="F138" s="93" t="str">
        <f t="shared" si="6"/>
        <v>-</v>
      </c>
      <c r="H138" s="117"/>
      <c r="I138" s="26"/>
      <c r="J138" s="102" t="str">
        <f>IFERROR(MIN('MP Calculations'!$E$29/I138,1),"-")</f>
        <v>-</v>
      </c>
      <c r="K138" s="37"/>
      <c r="L138" s="26"/>
      <c r="M138" s="26"/>
      <c r="N138" s="26"/>
      <c r="O138" s="96" t="str">
        <f t="shared" si="4"/>
        <v>-</v>
      </c>
      <c r="P138" s="98" t="str">
        <f t="shared" si="7"/>
        <v>-</v>
      </c>
    </row>
    <row r="139" spans="3:16" x14ac:dyDescent="0.25">
      <c r="C139" s="26"/>
      <c r="D139" s="116"/>
      <c r="E139" s="34"/>
      <c r="F139" s="93" t="str">
        <f t="shared" si="6"/>
        <v>-</v>
      </c>
      <c r="H139" s="117"/>
      <c r="I139" s="26"/>
      <c r="J139" s="102" t="str">
        <f>IFERROR(MIN('MP Calculations'!$E$29/I139,1),"-")</f>
        <v>-</v>
      </c>
      <c r="K139" s="37"/>
      <c r="L139" s="26"/>
      <c r="M139" s="26"/>
      <c r="N139" s="26"/>
      <c r="O139" s="96" t="str">
        <f t="shared" si="4"/>
        <v>-</v>
      </c>
      <c r="P139" s="98" t="str">
        <f t="shared" si="7"/>
        <v>-</v>
      </c>
    </row>
    <row r="140" spans="3:16" x14ac:dyDescent="0.25">
      <c r="C140" s="26"/>
      <c r="D140" s="116"/>
      <c r="E140" s="34"/>
      <c r="F140" s="93" t="str">
        <f t="shared" si="6"/>
        <v>-</v>
      </c>
      <c r="H140" s="117"/>
      <c r="I140" s="26"/>
      <c r="J140" s="102" t="str">
        <f>IFERROR(MIN('MP Calculations'!$E$29/I140,1),"-")</f>
        <v>-</v>
      </c>
      <c r="K140" s="37"/>
      <c r="L140" s="26"/>
      <c r="M140" s="26"/>
      <c r="N140" s="26"/>
      <c r="O140" s="96" t="str">
        <f t="shared" si="4"/>
        <v>-</v>
      </c>
      <c r="P140" s="98" t="str">
        <f t="shared" si="7"/>
        <v>-</v>
      </c>
    </row>
    <row r="141" spans="3:16" x14ac:dyDescent="0.25">
      <c r="C141" s="26"/>
      <c r="D141" s="116"/>
      <c r="E141" s="34"/>
      <c r="F141" s="93" t="str">
        <f t="shared" si="6"/>
        <v>-</v>
      </c>
      <c r="H141" s="117"/>
      <c r="I141" s="26"/>
      <c r="J141" s="102" t="str">
        <f>IFERROR(MIN('MP Calculations'!$E$29/I141,1),"-")</f>
        <v>-</v>
      </c>
      <c r="K141" s="37"/>
      <c r="L141" s="26"/>
      <c r="M141" s="26"/>
      <c r="N141" s="26"/>
      <c r="O141" s="96" t="str">
        <f t="shared" si="4"/>
        <v>-</v>
      </c>
      <c r="P141" s="98" t="str">
        <f t="shared" si="7"/>
        <v>-</v>
      </c>
    </row>
    <row r="142" spans="3:16" x14ac:dyDescent="0.25">
      <c r="C142" s="26"/>
      <c r="D142" s="116"/>
      <c r="E142" s="34"/>
      <c r="F142" s="93" t="str">
        <f t="shared" si="6"/>
        <v>-</v>
      </c>
      <c r="H142" s="117"/>
      <c r="I142" s="26"/>
      <c r="J142" s="102" t="str">
        <f>IFERROR(MIN('MP Calculations'!$E$29/I142,1),"-")</f>
        <v>-</v>
      </c>
      <c r="K142" s="37"/>
      <c r="L142" s="26"/>
      <c r="M142" s="26"/>
      <c r="N142" s="26"/>
      <c r="O142" s="96" t="str">
        <f t="shared" si="4"/>
        <v>-</v>
      </c>
      <c r="P142" s="98" t="str">
        <f t="shared" si="7"/>
        <v>-</v>
      </c>
    </row>
    <row r="143" spans="3:16" x14ac:dyDescent="0.25">
      <c r="C143" s="26"/>
      <c r="D143" s="116"/>
      <c r="E143" s="34"/>
      <c r="F143" s="93" t="str">
        <f t="shared" si="6"/>
        <v>-</v>
      </c>
      <c r="H143" s="117"/>
      <c r="I143" s="26"/>
      <c r="J143" s="102" t="str">
        <f>IFERROR(MIN('MP Calculations'!$E$29/I143,1),"-")</f>
        <v>-</v>
      </c>
      <c r="K143" s="37"/>
      <c r="L143" s="26"/>
      <c r="M143" s="26"/>
      <c r="N143" s="26"/>
      <c r="O143" s="96" t="str">
        <f t="shared" si="4"/>
        <v>-</v>
      </c>
      <c r="P143" s="98" t="str">
        <f t="shared" si="7"/>
        <v>-</v>
      </c>
    </row>
    <row r="144" spans="3:16" x14ac:dyDescent="0.25">
      <c r="C144" s="26"/>
      <c r="D144" s="116"/>
      <c r="E144" s="34"/>
      <c r="F144" s="93" t="str">
        <f t="shared" si="6"/>
        <v>-</v>
      </c>
      <c r="H144" s="117"/>
      <c r="I144" s="26"/>
      <c r="J144" s="102" t="str">
        <f>IFERROR(MIN('MP Calculations'!$E$29/I144,1),"-")</f>
        <v>-</v>
      </c>
      <c r="K144" s="37"/>
      <c r="L144" s="26"/>
      <c r="M144" s="26"/>
      <c r="N144" s="26"/>
      <c r="O144" s="96" t="str">
        <f t="shared" si="4"/>
        <v>-</v>
      </c>
      <c r="P144" s="98" t="str">
        <f t="shared" si="7"/>
        <v>-</v>
      </c>
    </row>
    <row r="145" spans="3:16" x14ac:dyDescent="0.25">
      <c r="C145" s="26"/>
      <c r="D145" s="116"/>
      <c r="E145" s="34"/>
      <c r="F145" s="93" t="str">
        <f t="shared" si="6"/>
        <v>-</v>
      </c>
      <c r="H145" s="117"/>
      <c r="I145" s="26"/>
      <c r="J145" s="102" t="str">
        <f>IFERROR(MIN('MP Calculations'!$E$29/I145,1),"-")</f>
        <v>-</v>
      </c>
      <c r="K145" s="37"/>
      <c r="L145" s="26"/>
      <c r="M145" s="26"/>
      <c r="N145" s="26"/>
      <c r="O145" s="96" t="str">
        <f t="shared" si="4"/>
        <v>-</v>
      </c>
      <c r="P145" s="98" t="str">
        <f t="shared" si="7"/>
        <v>-</v>
      </c>
    </row>
    <row r="146" spans="3:16" x14ac:dyDescent="0.25">
      <c r="C146" s="26"/>
      <c r="D146" s="116"/>
      <c r="E146" s="34"/>
      <c r="F146" s="93" t="str">
        <f t="shared" si="6"/>
        <v>-</v>
      </c>
      <c r="H146" s="117"/>
      <c r="I146" s="26"/>
      <c r="J146" s="102" t="str">
        <f>IFERROR(MIN('MP Calculations'!$E$29/I146,1),"-")</f>
        <v>-</v>
      </c>
      <c r="K146" s="37"/>
      <c r="L146" s="26"/>
      <c r="M146" s="26"/>
      <c r="N146" s="26"/>
      <c r="O146" s="96" t="str">
        <f t="shared" si="4"/>
        <v>-</v>
      </c>
      <c r="P146" s="98" t="str">
        <f t="shared" si="7"/>
        <v>-</v>
      </c>
    </row>
    <row r="147" spans="3:16" x14ac:dyDescent="0.25">
      <c r="C147" s="26"/>
      <c r="D147" s="116"/>
      <c r="E147" s="34"/>
      <c r="F147" s="93" t="str">
        <f t="shared" si="6"/>
        <v>-</v>
      </c>
      <c r="H147" s="117"/>
      <c r="I147" s="26"/>
      <c r="J147" s="102" t="str">
        <f>IFERROR(MIN('MP Calculations'!$E$29/I147,1),"-")</f>
        <v>-</v>
      </c>
      <c r="K147" s="37"/>
      <c r="L147" s="26"/>
      <c r="M147" s="26"/>
      <c r="N147" s="26"/>
      <c r="O147" s="96" t="str">
        <f t="shared" si="4"/>
        <v>-</v>
      </c>
      <c r="P147" s="98" t="str">
        <f t="shared" si="7"/>
        <v>-</v>
      </c>
    </row>
    <row r="148" spans="3:16" x14ac:dyDescent="0.25">
      <c r="C148" s="26"/>
      <c r="D148" s="116"/>
      <c r="E148" s="34"/>
      <c r="F148" s="93" t="str">
        <f t="shared" si="6"/>
        <v>-</v>
      </c>
      <c r="H148" s="117"/>
      <c r="I148" s="26"/>
      <c r="J148" s="102" t="str">
        <f>IFERROR(MIN('MP Calculations'!$E$29/I148,1),"-")</f>
        <v>-</v>
      </c>
      <c r="K148" s="37"/>
      <c r="L148" s="26"/>
      <c r="M148" s="26"/>
      <c r="N148" s="26"/>
      <c r="O148" s="96" t="str">
        <f t="shared" si="4"/>
        <v>-</v>
      </c>
      <c r="P148" s="98" t="str">
        <f t="shared" si="7"/>
        <v>-</v>
      </c>
    </row>
    <row r="149" spans="3:16" x14ac:dyDescent="0.25">
      <c r="C149" s="26"/>
      <c r="D149" s="116"/>
      <c r="E149" s="34"/>
      <c r="F149" s="93" t="str">
        <f t="shared" si="6"/>
        <v>-</v>
      </c>
      <c r="H149" s="117"/>
      <c r="I149" s="26"/>
      <c r="J149" s="102" t="str">
        <f>IFERROR(MIN('MP Calculations'!$E$29/I149,1),"-")</f>
        <v>-</v>
      </c>
      <c r="K149" s="37"/>
      <c r="L149" s="26"/>
      <c r="M149" s="26"/>
      <c r="N149" s="26"/>
      <c r="O149" s="96" t="str">
        <f t="shared" si="4"/>
        <v>-</v>
      </c>
      <c r="P149" s="98" t="str">
        <f t="shared" si="7"/>
        <v>-</v>
      </c>
    </row>
    <row r="150" spans="3:16" x14ac:dyDescent="0.25">
      <c r="C150" s="26"/>
      <c r="D150" s="116"/>
      <c r="E150" s="34"/>
      <c r="F150" s="93" t="str">
        <f t="shared" si="6"/>
        <v>-</v>
      </c>
      <c r="H150" s="117"/>
      <c r="I150" s="26"/>
      <c r="J150" s="102" t="str">
        <f>IFERROR(MIN('MP Calculations'!$E$29/I150,1),"-")</f>
        <v>-</v>
      </c>
      <c r="K150" s="37"/>
      <c r="L150" s="26"/>
      <c r="M150" s="26"/>
      <c r="N150" s="26"/>
      <c r="O150" s="96" t="str">
        <f t="shared" si="4"/>
        <v>-</v>
      </c>
      <c r="P150" s="98" t="str">
        <f t="shared" si="7"/>
        <v>-</v>
      </c>
    </row>
    <row r="151" spans="3:16" x14ac:dyDescent="0.25">
      <c r="C151" s="26"/>
      <c r="D151" s="116"/>
      <c r="E151" s="34"/>
      <c r="F151" s="93" t="str">
        <f t="shared" si="6"/>
        <v>-</v>
      </c>
      <c r="H151" s="117"/>
      <c r="I151" s="26"/>
      <c r="J151" s="102" t="str">
        <f>IFERROR(MIN('MP Calculations'!$E$29/I151,1),"-")</f>
        <v>-</v>
      </c>
      <c r="K151" s="37"/>
      <c r="L151" s="26"/>
      <c r="M151" s="26"/>
      <c r="N151" s="26"/>
      <c r="O151" s="96" t="str">
        <f t="shared" ref="O151:O214" si="8">IF(N151="","-",L151*N151)</f>
        <v>-</v>
      </c>
      <c r="P151" s="98" t="str">
        <f t="shared" si="7"/>
        <v>-</v>
      </c>
    </row>
    <row r="152" spans="3:16" x14ac:dyDescent="0.25">
      <c r="C152" s="26"/>
      <c r="D152" s="116"/>
      <c r="E152" s="34"/>
      <c r="F152" s="93" t="str">
        <f t="shared" si="6"/>
        <v>-</v>
      </c>
      <c r="H152" s="117"/>
      <c r="I152" s="26"/>
      <c r="J152" s="102" t="str">
        <f>IFERROR(MIN('MP Calculations'!$E$29/I152,1),"-")</f>
        <v>-</v>
      </c>
      <c r="K152" s="37"/>
      <c r="L152" s="26"/>
      <c r="M152" s="26"/>
      <c r="N152" s="26"/>
      <c r="O152" s="96" t="str">
        <f t="shared" si="8"/>
        <v>-</v>
      </c>
      <c r="P152" s="98" t="str">
        <f t="shared" si="7"/>
        <v>-</v>
      </c>
    </row>
    <row r="153" spans="3:16" x14ac:dyDescent="0.25">
      <c r="C153" s="26"/>
      <c r="D153" s="116"/>
      <c r="E153" s="34"/>
      <c r="F153" s="93" t="str">
        <f t="shared" si="6"/>
        <v>-</v>
      </c>
      <c r="H153" s="117"/>
      <c r="I153" s="26"/>
      <c r="J153" s="102" t="str">
        <f>IFERROR(MIN('MP Calculations'!$E$29/I153,1),"-")</f>
        <v>-</v>
      </c>
      <c r="K153" s="37"/>
      <c r="L153" s="26"/>
      <c r="M153" s="26"/>
      <c r="N153" s="26"/>
      <c r="O153" s="96" t="str">
        <f t="shared" si="8"/>
        <v>-</v>
      </c>
      <c r="P153" s="98" t="str">
        <f t="shared" si="7"/>
        <v>-</v>
      </c>
    </row>
    <row r="154" spans="3:16" x14ac:dyDescent="0.25">
      <c r="C154" s="26"/>
      <c r="D154" s="116"/>
      <c r="E154" s="34"/>
      <c r="F154" s="93" t="str">
        <f t="shared" si="6"/>
        <v>-</v>
      </c>
      <c r="H154" s="117"/>
      <c r="I154" s="26"/>
      <c r="J154" s="102" t="str">
        <f>IFERROR(MIN('MP Calculations'!$E$29/I154,1),"-")</f>
        <v>-</v>
      </c>
      <c r="K154" s="37"/>
      <c r="L154" s="26"/>
      <c r="M154" s="26"/>
      <c r="N154" s="26"/>
      <c r="O154" s="96" t="str">
        <f t="shared" si="8"/>
        <v>-</v>
      </c>
      <c r="P154" s="98" t="str">
        <f t="shared" si="7"/>
        <v>-</v>
      </c>
    </row>
    <row r="155" spans="3:16" x14ac:dyDescent="0.25">
      <c r="C155" s="26"/>
      <c r="D155" s="116"/>
      <c r="E155" s="34"/>
      <c r="F155" s="93" t="str">
        <f t="shared" si="6"/>
        <v>-</v>
      </c>
      <c r="H155" s="117"/>
      <c r="I155" s="26"/>
      <c r="J155" s="102" t="str">
        <f>IFERROR(MIN('MP Calculations'!$E$29/I155,1),"-")</f>
        <v>-</v>
      </c>
      <c r="K155" s="37"/>
      <c r="L155" s="26"/>
      <c r="M155" s="26"/>
      <c r="N155" s="26"/>
      <c r="O155" s="96" t="str">
        <f t="shared" si="8"/>
        <v>-</v>
      </c>
      <c r="P155" s="98" t="str">
        <f t="shared" si="7"/>
        <v>-</v>
      </c>
    </row>
    <row r="156" spans="3:16" x14ac:dyDescent="0.25">
      <c r="C156" s="26"/>
      <c r="D156" s="116"/>
      <c r="E156" s="34"/>
      <c r="F156" s="93" t="str">
        <f t="shared" si="6"/>
        <v>-</v>
      </c>
      <c r="H156" s="117"/>
      <c r="I156" s="26"/>
      <c r="J156" s="102" t="str">
        <f>IFERROR(MIN('MP Calculations'!$E$29/I156,1),"-")</f>
        <v>-</v>
      </c>
      <c r="K156" s="37"/>
      <c r="L156" s="26"/>
      <c r="M156" s="26"/>
      <c r="N156" s="26"/>
      <c r="O156" s="96" t="str">
        <f t="shared" si="8"/>
        <v>-</v>
      </c>
      <c r="P156" s="98" t="str">
        <f t="shared" si="7"/>
        <v>-</v>
      </c>
    </row>
    <row r="157" spans="3:16" x14ac:dyDescent="0.25">
      <c r="C157" s="26"/>
      <c r="D157" s="116"/>
      <c r="E157" s="34"/>
      <c r="F157" s="93" t="str">
        <f t="shared" si="6"/>
        <v>-</v>
      </c>
      <c r="H157" s="117"/>
      <c r="I157" s="26"/>
      <c r="J157" s="102" t="str">
        <f>IFERROR(MIN('MP Calculations'!$E$29/I157,1),"-")</f>
        <v>-</v>
      </c>
      <c r="K157" s="37"/>
      <c r="L157" s="26"/>
      <c r="M157" s="26"/>
      <c r="N157" s="26"/>
      <c r="O157" s="96" t="str">
        <f t="shared" si="8"/>
        <v>-</v>
      </c>
      <c r="P157" s="98" t="str">
        <f t="shared" si="7"/>
        <v>-</v>
      </c>
    </row>
    <row r="158" spans="3:16" x14ac:dyDescent="0.25">
      <c r="C158" s="26"/>
      <c r="D158" s="116"/>
      <c r="E158" s="34"/>
      <c r="F158" s="93" t="str">
        <f t="shared" si="6"/>
        <v>-</v>
      </c>
      <c r="H158" s="117"/>
      <c r="I158" s="26"/>
      <c r="J158" s="102" t="str">
        <f>IFERROR(MIN('MP Calculations'!$E$29/I158,1),"-")</f>
        <v>-</v>
      </c>
      <c r="K158" s="37"/>
      <c r="L158" s="26"/>
      <c r="M158" s="26"/>
      <c r="N158" s="26"/>
      <c r="O158" s="96" t="str">
        <f t="shared" si="8"/>
        <v>-</v>
      </c>
      <c r="P158" s="98" t="str">
        <f t="shared" si="7"/>
        <v>-</v>
      </c>
    </row>
    <row r="159" spans="3:16" x14ac:dyDescent="0.25">
      <c r="C159" s="26"/>
      <c r="D159" s="116"/>
      <c r="E159" s="34"/>
      <c r="F159" s="93" t="str">
        <f t="shared" si="6"/>
        <v>-</v>
      </c>
      <c r="H159" s="117"/>
      <c r="I159" s="26"/>
      <c r="J159" s="102" t="str">
        <f>IFERROR(MIN('MP Calculations'!$E$29/I159,1),"-")</f>
        <v>-</v>
      </c>
      <c r="K159" s="37"/>
      <c r="L159" s="26"/>
      <c r="M159" s="26"/>
      <c r="N159" s="26"/>
      <c r="O159" s="96" t="str">
        <f t="shared" si="8"/>
        <v>-</v>
      </c>
      <c r="P159" s="98" t="str">
        <f t="shared" si="7"/>
        <v>-</v>
      </c>
    </row>
    <row r="160" spans="3:16" x14ac:dyDescent="0.25">
      <c r="C160" s="26"/>
      <c r="D160" s="116"/>
      <c r="E160" s="34"/>
      <c r="F160" s="93" t="str">
        <f t="shared" si="6"/>
        <v>-</v>
      </c>
      <c r="H160" s="117"/>
      <c r="I160" s="26"/>
      <c r="J160" s="102" t="str">
        <f>IFERROR(MIN('MP Calculations'!$E$29/I160,1),"-")</f>
        <v>-</v>
      </c>
      <c r="K160" s="37"/>
      <c r="L160" s="26"/>
      <c r="M160" s="26"/>
      <c r="N160" s="26"/>
      <c r="O160" s="96" t="str">
        <f t="shared" si="8"/>
        <v>-</v>
      </c>
      <c r="P160" s="98" t="str">
        <f t="shared" si="7"/>
        <v>-</v>
      </c>
    </row>
    <row r="161" spans="3:16" x14ac:dyDescent="0.25">
      <c r="C161" s="26"/>
      <c r="D161" s="116"/>
      <c r="E161" s="34"/>
      <c r="F161" s="93" t="str">
        <f t="shared" si="6"/>
        <v>-</v>
      </c>
      <c r="H161" s="117"/>
      <c r="I161" s="26"/>
      <c r="J161" s="102" t="str">
        <f>IFERROR(MIN('MP Calculations'!$E$29/I161,1),"-")</f>
        <v>-</v>
      </c>
      <c r="K161" s="37"/>
      <c r="L161" s="26"/>
      <c r="M161" s="26"/>
      <c r="N161" s="26"/>
      <c r="O161" s="96" t="str">
        <f t="shared" si="8"/>
        <v>-</v>
      </c>
      <c r="P161" s="98" t="str">
        <f t="shared" si="7"/>
        <v>-</v>
      </c>
    </row>
    <row r="162" spans="3:16" x14ac:dyDescent="0.25">
      <c r="C162" s="26"/>
      <c r="D162" s="116"/>
      <c r="E162" s="34"/>
      <c r="F162" s="93" t="str">
        <f t="shared" si="6"/>
        <v>-</v>
      </c>
      <c r="H162" s="117"/>
      <c r="I162" s="26"/>
      <c r="J162" s="102" t="str">
        <f>IFERROR(MIN('MP Calculations'!$E$29/I162,1),"-")</f>
        <v>-</v>
      </c>
      <c r="K162" s="37"/>
      <c r="L162" s="26"/>
      <c r="M162" s="26"/>
      <c r="N162" s="26"/>
      <c r="O162" s="96" t="str">
        <f t="shared" si="8"/>
        <v>-</v>
      </c>
      <c r="P162" s="98" t="str">
        <f t="shared" si="7"/>
        <v>-</v>
      </c>
    </row>
    <row r="163" spans="3:16" x14ac:dyDescent="0.25">
      <c r="C163" s="26"/>
      <c r="D163" s="116"/>
      <c r="E163" s="34"/>
      <c r="F163" s="93" t="str">
        <f t="shared" si="6"/>
        <v>-</v>
      </c>
      <c r="H163" s="117"/>
      <c r="I163" s="26"/>
      <c r="J163" s="102" t="str">
        <f>IFERROR(MIN('MP Calculations'!$E$29/I163,1),"-")</f>
        <v>-</v>
      </c>
      <c r="K163" s="37"/>
      <c r="L163" s="26"/>
      <c r="M163" s="26"/>
      <c r="N163" s="26"/>
      <c r="O163" s="96" t="str">
        <f t="shared" si="8"/>
        <v>-</v>
      </c>
      <c r="P163" s="98" t="str">
        <f t="shared" si="7"/>
        <v>-</v>
      </c>
    </row>
    <row r="164" spans="3:16" x14ac:dyDescent="0.25">
      <c r="C164" s="26"/>
      <c r="D164" s="116"/>
      <c r="E164" s="34"/>
      <c r="F164" s="93" t="str">
        <f t="shared" si="6"/>
        <v>-</v>
      </c>
      <c r="H164" s="117"/>
      <c r="I164" s="26"/>
      <c r="J164" s="102" t="str">
        <f>IFERROR(MIN('MP Calculations'!$E$29/I164,1),"-")</f>
        <v>-</v>
      </c>
      <c r="K164" s="37"/>
      <c r="L164" s="26"/>
      <c r="M164" s="26"/>
      <c r="N164" s="26"/>
      <c r="O164" s="96" t="str">
        <f t="shared" si="8"/>
        <v>-</v>
      </c>
      <c r="P164" s="98" t="str">
        <f t="shared" si="7"/>
        <v>-</v>
      </c>
    </row>
    <row r="165" spans="3:16" x14ac:dyDescent="0.25">
      <c r="C165" s="26"/>
      <c r="D165" s="116"/>
      <c r="E165" s="34"/>
      <c r="F165" s="93" t="str">
        <f t="shared" si="6"/>
        <v>-</v>
      </c>
      <c r="H165" s="117"/>
      <c r="I165" s="26"/>
      <c r="J165" s="102" t="str">
        <f>IFERROR(MIN('MP Calculations'!$E$29/I165,1),"-")</f>
        <v>-</v>
      </c>
      <c r="K165" s="37"/>
      <c r="L165" s="26"/>
      <c r="M165" s="26"/>
      <c r="N165" s="26"/>
      <c r="O165" s="96" t="str">
        <f t="shared" si="8"/>
        <v>-</v>
      </c>
      <c r="P165" s="98" t="str">
        <f t="shared" si="7"/>
        <v>-</v>
      </c>
    </row>
    <row r="166" spans="3:16" x14ac:dyDescent="0.25">
      <c r="C166" s="26"/>
      <c r="D166" s="116"/>
      <c r="E166" s="34"/>
      <c r="F166" s="93" t="str">
        <f t="shared" si="6"/>
        <v>-</v>
      </c>
      <c r="H166" s="117"/>
      <c r="I166" s="26"/>
      <c r="J166" s="102" t="str">
        <f>IFERROR(MIN('MP Calculations'!$E$29/I166,1),"-")</f>
        <v>-</v>
      </c>
      <c r="K166" s="37"/>
      <c r="L166" s="26"/>
      <c r="M166" s="26"/>
      <c r="N166" s="26"/>
      <c r="O166" s="96" t="str">
        <f t="shared" si="8"/>
        <v>-</v>
      </c>
      <c r="P166" s="98" t="str">
        <f t="shared" si="7"/>
        <v>-</v>
      </c>
    </row>
    <row r="167" spans="3:16" x14ac:dyDescent="0.25">
      <c r="C167" s="26"/>
      <c r="D167" s="116"/>
      <c r="E167" s="34"/>
      <c r="F167" s="93" t="str">
        <f t="shared" si="6"/>
        <v>-</v>
      </c>
      <c r="H167" s="117"/>
      <c r="I167" s="26"/>
      <c r="J167" s="102" t="str">
        <f>IFERROR(MIN('MP Calculations'!$E$29/I167,1),"-")</f>
        <v>-</v>
      </c>
      <c r="K167" s="37"/>
      <c r="L167" s="26"/>
      <c r="M167" s="26"/>
      <c r="N167" s="26"/>
      <c r="O167" s="96" t="str">
        <f t="shared" si="8"/>
        <v>-</v>
      </c>
      <c r="P167" s="98" t="str">
        <f t="shared" si="7"/>
        <v>-</v>
      </c>
    </row>
    <row r="168" spans="3:16" x14ac:dyDescent="0.25">
      <c r="C168" s="26"/>
      <c r="D168" s="116"/>
      <c r="E168" s="34"/>
      <c r="F168" s="93" t="str">
        <f t="shared" si="6"/>
        <v>-</v>
      </c>
      <c r="H168" s="117"/>
      <c r="I168" s="26"/>
      <c r="J168" s="102" t="str">
        <f>IFERROR(MIN('MP Calculations'!$E$29/I168,1),"-")</f>
        <v>-</v>
      </c>
      <c r="K168" s="37"/>
      <c r="L168" s="26"/>
      <c r="M168" s="26"/>
      <c r="N168" s="26"/>
      <c r="O168" s="96" t="str">
        <f t="shared" si="8"/>
        <v>-</v>
      </c>
      <c r="P168" s="98" t="str">
        <f t="shared" si="7"/>
        <v>-</v>
      </c>
    </row>
    <row r="169" spans="3:16" x14ac:dyDescent="0.25">
      <c r="C169" s="26"/>
      <c r="D169" s="116"/>
      <c r="E169" s="34"/>
      <c r="F169" s="93" t="str">
        <f t="shared" si="6"/>
        <v>-</v>
      </c>
      <c r="H169" s="117"/>
      <c r="I169" s="26"/>
      <c r="J169" s="102" t="str">
        <f>IFERROR(MIN('MP Calculations'!$E$29/I169,1),"-")</f>
        <v>-</v>
      </c>
      <c r="K169" s="37"/>
      <c r="L169" s="26"/>
      <c r="M169" s="26"/>
      <c r="N169" s="26"/>
      <c r="O169" s="96" t="str">
        <f t="shared" si="8"/>
        <v>-</v>
      </c>
      <c r="P169" s="98" t="str">
        <f t="shared" si="7"/>
        <v>-</v>
      </c>
    </row>
    <row r="170" spans="3:16" x14ac:dyDescent="0.25">
      <c r="C170" s="26"/>
      <c r="D170" s="116"/>
      <c r="E170" s="34"/>
      <c r="F170" s="93" t="str">
        <f t="shared" si="6"/>
        <v>-</v>
      </c>
      <c r="H170" s="117"/>
      <c r="I170" s="26"/>
      <c r="J170" s="102" t="str">
        <f>IFERROR(MIN('MP Calculations'!$E$29/I170,1),"-")</f>
        <v>-</v>
      </c>
      <c r="K170" s="37"/>
      <c r="L170" s="26"/>
      <c r="M170" s="26"/>
      <c r="N170" s="26"/>
      <c r="O170" s="96" t="str">
        <f t="shared" si="8"/>
        <v>-</v>
      </c>
      <c r="P170" s="98" t="str">
        <f t="shared" si="7"/>
        <v>-</v>
      </c>
    </row>
    <row r="171" spans="3:16" x14ac:dyDescent="0.25">
      <c r="C171" s="26"/>
      <c r="D171" s="116"/>
      <c r="E171" s="34"/>
      <c r="F171" s="93" t="str">
        <f t="shared" si="6"/>
        <v>-</v>
      </c>
      <c r="H171" s="117"/>
      <c r="I171" s="26"/>
      <c r="J171" s="102" t="str">
        <f>IFERROR(MIN('MP Calculations'!$E$29/I171,1),"-")</f>
        <v>-</v>
      </c>
      <c r="K171" s="37"/>
      <c r="L171" s="26"/>
      <c r="M171" s="26"/>
      <c r="N171" s="26"/>
      <c r="O171" s="96" t="str">
        <f t="shared" si="8"/>
        <v>-</v>
      </c>
      <c r="P171" s="98" t="str">
        <f t="shared" si="7"/>
        <v>-</v>
      </c>
    </row>
    <row r="172" spans="3:16" x14ac:dyDescent="0.25">
      <c r="C172" s="26"/>
      <c r="D172" s="116"/>
      <c r="E172" s="34"/>
      <c r="F172" s="93" t="str">
        <f t="shared" si="6"/>
        <v>-</v>
      </c>
      <c r="H172" s="117"/>
      <c r="I172" s="26"/>
      <c r="J172" s="102" t="str">
        <f>IFERROR(MIN('MP Calculations'!$E$29/I172,1),"-")</f>
        <v>-</v>
      </c>
      <c r="K172" s="37"/>
      <c r="L172" s="26"/>
      <c r="M172" s="26"/>
      <c r="N172" s="26"/>
      <c r="O172" s="96" t="str">
        <f t="shared" si="8"/>
        <v>-</v>
      </c>
      <c r="P172" s="98" t="str">
        <f t="shared" si="7"/>
        <v>-</v>
      </c>
    </row>
    <row r="173" spans="3:16" x14ac:dyDescent="0.25">
      <c r="C173" s="26"/>
      <c r="D173" s="116"/>
      <c r="E173" s="34"/>
      <c r="F173" s="93" t="str">
        <f t="shared" si="6"/>
        <v>-</v>
      </c>
      <c r="H173" s="117"/>
      <c r="I173" s="26"/>
      <c r="J173" s="102" t="str">
        <f>IFERROR(MIN('MP Calculations'!$E$29/I173,1),"-")</f>
        <v>-</v>
      </c>
      <c r="K173" s="37"/>
      <c r="L173" s="26"/>
      <c r="M173" s="26"/>
      <c r="N173" s="26"/>
      <c r="O173" s="96" t="str">
        <f t="shared" si="8"/>
        <v>-</v>
      </c>
      <c r="P173" s="98" t="str">
        <f t="shared" si="7"/>
        <v>-</v>
      </c>
    </row>
    <row r="174" spans="3:16" x14ac:dyDescent="0.25">
      <c r="C174" s="26"/>
      <c r="D174" s="116"/>
      <c r="E174" s="34"/>
      <c r="F174" s="93" t="str">
        <f t="shared" si="6"/>
        <v>-</v>
      </c>
      <c r="H174" s="117"/>
      <c r="I174" s="26"/>
      <c r="J174" s="102" t="str">
        <f>IFERROR(MIN('MP Calculations'!$E$29/I174,1),"-")</f>
        <v>-</v>
      </c>
      <c r="K174" s="37"/>
      <c r="L174" s="26"/>
      <c r="M174" s="26"/>
      <c r="N174" s="26"/>
      <c r="O174" s="96" t="str">
        <f t="shared" si="8"/>
        <v>-</v>
      </c>
      <c r="P174" s="98" t="str">
        <f t="shared" si="7"/>
        <v>-</v>
      </c>
    </row>
    <row r="175" spans="3:16" x14ac:dyDescent="0.25">
      <c r="C175" s="26"/>
      <c r="D175" s="116"/>
      <c r="E175" s="34"/>
      <c r="F175" s="93" t="str">
        <f t="shared" si="6"/>
        <v>-</v>
      </c>
      <c r="H175" s="117"/>
      <c r="I175" s="26"/>
      <c r="J175" s="102" t="str">
        <f>IFERROR(MIN('MP Calculations'!$E$29/I175,1),"-")</f>
        <v>-</v>
      </c>
      <c r="K175" s="37"/>
      <c r="L175" s="26"/>
      <c r="M175" s="26"/>
      <c r="N175" s="26"/>
      <c r="O175" s="96" t="str">
        <f t="shared" si="8"/>
        <v>-</v>
      </c>
      <c r="P175" s="98" t="str">
        <f t="shared" si="7"/>
        <v>-</v>
      </c>
    </row>
    <row r="176" spans="3:16" x14ac:dyDescent="0.25">
      <c r="C176" s="26"/>
      <c r="D176" s="116"/>
      <c r="E176" s="34"/>
      <c r="F176" s="93" t="str">
        <f t="shared" si="6"/>
        <v>-</v>
      </c>
      <c r="H176" s="117"/>
      <c r="I176" s="26"/>
      <c r="J176" s="102" t="str">
        <f>IFERROR(MIN('MP Calculations'!$E$29/I176,1),"-")</f>
        <v>-</v>
      </c>
      <c r="K176" s="37"/>
      <c r="L176" s="26"/>
      <c r="M176" s="26"/>
      <c r="N176" s="26"/>
      <c r="O176" s="96" t="str">
        <f t="shared" si="8"/>
        <v>-</v>
      </c>
      <c r="P176" s="98" t="str">
        <f t="shared" si="7"/>
        <v>-</v>
      </c>
    </row>
    <row r="177" spans="3:16" x14ac:dyDescent="0.25">
      <c r="C177" s="26"/>
      <c r="D177" s="116"/>
      <c r="E177" s="34"/>
      <c r="F177" s="93" t="str">
        <f t="shared" si="6"/>
        <v>-</v>
      </c>
      <c r="H177" s="117"/>
      <c r="I177" s="26"/>
      <c r="J177" s="102" t="str">
        <f>IFERROR(MIN('MP Calculations'!$E$29/I177,1),"-")</f>
        <v>-</v>
      </c>
      <c r="K177" s="37"/>
      <c r="L177" s="26"/>
      <c r="M177" s="26"/>
      <c r="N177" s="26"/>
      <c r="O177" s="96" t="str">
        <f t="shared" si="8"/>
        <v>-</v>
      </c>
      <c r="P177" s="98" t="str">
        <f t="shared" si="7"/>
        <v>-</v>
      </c>
    </row>
    <row r="178" spans="3:16" x14ac:dyDescent="0.25">
      <c r="C178" s="26"/>
      <c r="D178" s="116"/>
      <c r="E178" s="34"/>
      <c r="F178" s="93" t="str">
        <f t="shared" si="6"/>
        <v>-</v>
      </c>
      <c r="H178" s="117"/>
      <c r="I178" s="26"/>
      <c r="J178" s="102" t="str">
        <f>IFERROR(MIN('MP Calculations'!$E$29/I178,1),"-")</f>
        <v>-</v>
      </c>
      <c r="K178" s="37"/>
      <c r="L178" s="26"/>
      <c r="M178" s="26"/>
      <c r="N178" s="26"/>
      <c r="O178" s="96" t="str">
        <f t="shared" si="8"/>
        <v>-</v>
      </c>
      <c r="P178" s="98" t="str">
        <f t="shared" si="7"/>
        <v>-</v>
      </c>
    </row>
    <row r="179" spans="3:16" x14ac:dyDescent="0.25">
      <c r="C179" s="26"/>
      <c r="D179" s="116"/>
      <c r="E179" s="34"/>
      <c r="F179" s="93" t="str">
        <f t="shared" si="6"/>
        <v>-</v>
      </c>
      <c r="H179" s="117"/>
      <c r="I179" s="26"/>
      <c r="J179" s="102" t="str">
        <f>IFERROR(MIN('MP Calculations'!$E$29/I179,1),"-")</f>
        <v>-</v>
      </c>
      <c r="K179" s="37"/>
      <c r="L179" s="26"/>
      <c r="M179" s="26"/>
      <c r="N179" s="26"/>
      <c r="O179" s="96" t="str">
        <f t="shared" si="8"/>
        <v>-</v>
      </c>
      <c r="P179" s="98" t="str">
        <f t="shared" si="7"/>
        <v>-</v>
      </c>
    </row>
    <row r="180" spans="3:16" x14ac:dyDescent="0.25">
      <c r="C180" s="26"/>
      <c r="D180" s="116"/>
      <c r="E180" s="34"/>
      <c r="F180" s="93" t="str">
        <f t="shared" si="6"/>
        <v>-</v>
      </c>
      <c r="H180" s="117"/>
      <c r="I180" s="26"/>
      <c r="J180" s="102" t="str">
        <f>IFERROR(MIN('MP Calculations'!$E$29/I180,1),"-")</f>
        <v>-</v>
      </c>
      <c r="K180" s="37"/>
      <c r="L180" s="26"/>
      <c r="M180" s="26"/>
      <c r="N180" s="26"/>
      <c r="O180" s="96" t="str">
        <f t="shared" si="8"/>
        <v>-</v>
      </c>
      <c r="P180" s="98" t="str">
        <f t="shared" si="7"/>
        <v>-</v>
      </c>
    </row>
    <row r="181" spans="3:16" x14ac:dyDescent="0.25">
      <c r="C181" s="26"/>
      <c r="D181" s="116"/>
      <c r="E181" s="34"/>
      <c r="F181" s="93" t="str">
        <f t="shared" si="6"/>
        <v>-</v>
      </c>
      <c r="H181" s="117"/>
      <c r="I181" s="26"/>
      <c r="J181" s="102" t="str">
        <f>IFERROR(MIN('MP Calculations'!$E$29/I181,1),"-")</f>
        <v>-</v>
      </c>
      <c r="K181" s="37"/>
      <c r="L181" s="26"/>
      <c r="M181" s="26"/>
      <c r="N181" s="26"/>
      <c r="O181" s="96" t="str">
        <f t="shared" si="8"/>
        <v>-</v>
      </c>
      <c r="P181" s="98" t="str">
        <f t="shared" si="7"/>
        <v>-</v>
      </c>
    </row>
    <row r="182" spans="3:16" x14ac:dyDescent="0.25">
      <c r="C182" s="26"/>
      <c r="D182" s="116"/>
      <c r="E182" s="34"/>
      <c r="F182" s="93" t="str">
        <f t="shared" si="6"/>
        <v>-</v>
      </c>
      <c r="H182" s="117"/>
      <c r="I182" s="26"/>
      <c r="J182" s="102" t="str">
        <f>IFERROR(MIN('MP Calculations'!$E$29/I182,1),"-")</f>
        <v>-</v>
      </c>
      <c r="K182" s="37"/>
      <c r="L182" s="26"/>
      <c r="M182" s="26"/>
      <c r="N182" s="26"/>
      <c r="O182" s="96" t="str">
        <f t="shared" si="8"/>
        <v>-</v>
      </c>
      <c r="P182" s="98" t="str">
        <f t="shared" si="7"/>
        <v>-</v>
      </c>
    </row>
    <row r="183" spans="3:16" x14ac:dyDescent="0.25">
      <c r="C183" s="26"/>
      <c r="D183" s="116"/>
      <c r="E183" s="34"/>
      <c r="F183" s="93" t="str">
        <f t="shared" si="6"/>
        <v>-</v>
      </c>
      <c r="H183" s="117"/>
      <c r="I183" s="26"/>
      <c r="J183" s="102" t="str">
        <f>IFERROR(MIN('MP Calculations'!$E$29/I183,1),"-")</f>
        <v>-</v>
      </c>
      <c r="K183" s="37"/>
      <c r="L183" s="26"/>
      <c r="M183" s="26"/>
      <c r="N183" s="26"/>
      <c r="O183" s="96" t="str">
        <f t="shared" si="8"/>
        <v>-</v>
      </c>
      <c r="P183" s="98" t="str">
        <f t="shared" si="7"/>
        <v>-</v>
      </c>
    </row>
    <row r="184" spans="3:16" x14ac:dyDescent="0.25">
      <c r="C184" s="26"/>
      <c r="D184" s="116"/>
      <c r="E184" s="34"/>
      <c r="F184" s="93" t="str">
        <f t="shared" ref="F184:F217" si="9">IF(E184="","-",IF(E184&lt;$E$15,"ERROR - date outside of range",IF(MONTH(E184)&gt;=7,YEAR(E184)&amp;"-"&amp;RIGHT(YEAR(E184),2)+1,YEAR(E184)-1&amp;"-"&amp;RIGHT(YEAR(E184),2))))</f>
        <v>-</v>
      </c>
      <c r="H184" s="117"/>
      <c r="I184" s="26"/>
      <c r="J184" s="102" t="str">
        <f>IFERROR(MIN('MP Calculations'!$E$29/I184,1),"-")</f>
        <v>-</v>
      </c>
      <c r="K184" s="37"/>
      <c r="L184" s="26"/>
      <c r="M184" s="26"/>
      <c r="N184" s="26"/>
      <c r="O184" s="96" t="str">
        <f t="shared" si="8"/>
        <v>-</v>
      </c>
      <c r="P184" s="98" t="str">
        <f t="shared" ref="P184:P217" si="10">IF(O184="-","-",IF(E184&lt;$E$15,0,O184*J184))</f>
        <v>-</v>
      </c>
    </row>
    <row r="185" spans="3:16" x14ac:dyDescent="0.25">
      <c r="C185" s="26"/>
      <c r="D185" s="116"/>
      <c r="E185" s="34"/>
      <c r="F185" s="93" t="str">
        <f t="shared" si="9"/>
        <v>-</v>
      </c>
      <c r="H185" s="117"/>
      <c r="I185" s="26"/>
      <c r="J185" s="102" t="str">
        <f>IFERROR(MIN('MP Calculations'!$E$29/I185,1),"-")</f>
        <v>-</v>
      </c>
      <c r="K185" s="37"/>
      <c r="L185" s="26"/>
      <c r="M185" s="26"/>
      <c r="N185" s="26"/>
      <c r="O185" s="96" t="str">
        <f t="shared" si="8"/>
        <v>-</v>
      </c>
      <c r="P185" s="98" t="str">
        <f t="shared" si="10"/>
        <v>-</v>
      </c>
    </row>
    <row r="186" spans="3:16" x14ac:dyDescent="0.25">
      <c r="C186" s="26"/>
      <c r="D186" s="116"/>
      <c r="E186" s="34"/>
      <c r="F186" s="93" t="str">
        <f t="shared" si="9"/>
        <v>-</v>
      </c>
      <c r="H186" s="117"/>
      <c r="I186" s="26"/>
      <c r="J186" s="102" t="str">
        <f>IFERROR(MIN('MP Calculations'!$E$29/I186,1),"-")</f>
        <v>-</v>
      </c>
      <c r="K186" s="37"/>
      <c r="L186" s="26"/>
      <c r="M186" s="26"/>
      <c r="N186" s="26"/>
      <c r="O186" s="96" t="str">
        <f t="shared" si="8"/>
        <v>-</v>
      </c>
      <c r="P186" s="98" t="str">
        <f t="shared" si="10"/>
        <v>-</v>
      </c>
    </row>
    <row r="187" spans="3:16" x14ac:dyDescent="0.25">
      <c r="C187" s="26"/>
      <c r="D187" s="116"/>
      <c r="E187" s="34"/>
      <c r="F187" s="93" t="str">
        <f t="shared" si="9"/>
        <v>-</v>
      </c>
      <c r="H187" s="117"/>
      <c r="I187" s="26"/>
      <c r="J187" s="102" t="str">
        <f>IFERROR(MIN('MP Calculations'!$E$29/I187,1),"-")</f>
        <v>-</v>
      </c>
      <c r="K187" s="37"/>
      <c r="L187" s="26"/>
      <c r="M187" s="26"/>
      <c r="N187" s="26"/>
      <c r="O187" s="96" t="str">
        <f t="shared" si="8"/>
        <v>-</v>
      </c>
      <c r="P187" s="98" t="str">
        <f t="shared" si="10"/>
        <v>-</v>
      </c>
    </row>
    <row r="188" spans="3:16" x14ac:dyDescent="0.25">
      <c r="C188" s="26"/>
      <c r="D188" s="116"/>
      <c r="E188" s="34"/>
      <c r="F188" s="93" t="str">
        <f t="shared" si="9"/>
        <v>-</v>
      </c>
      <c r="H188" s="117"/>
      <c r="I188" s="26"/>
      <c r="J188" s="102" t="str">
        <f>IFERROR(MIN('MP Calculations'!$E$29/I188,1),"-")</f>
        <v>-</v>
      </c>
      <c r="K188" s="37"/>
      <c r="L188" s="26"/>
      <c r="M188" s="26"/>
      <c r="N188" s="26"/>
      <c r="O188" s="96" t="str">
        <f t="shared" si="8"/>
        <v>-</v>
      </c>
      <c r="P188" s="98" t="str">
        <f t="shared" si="10"/>
        <v>-</v>
      </c>
    </row>
    <row r="189" spans="3:16" x14ac:dyDescent="0.25">
      <c r="C189" s="26"/>
      <c r="D189" s="116"/>
      <c r="E189" s="34"/>
      <c r="F189" s="93" t="str">
        <f t="shared" si="9"/>
        <v>-</v>
      </c>
      <c r="H189" s="117"/>
      <c r="I189" s="26"/>
      <c r="J189" s="102" t="str">
        <f>IFERROR(MIN('MP Calculations'!$E$29/I189,1),"-")</f>
        <v>-</v>
      </c>
      <c r="K189" s="37"/>
      <c r="L189" s="26"/>
      <c r="M189" s="26"/>
      <c r="N189" s="26"/>
      <c r="O189" s="96" t="str">
        <f t="shared" si="8"/>
        <v>-</v>
      </c>
      <c r="P189" s="98" t="str">
        <f t="shared" si="10"/>
        <v>-</v>
      </c>
    </row>
    <row r="190" spans="3:16" x14ac:dyDescent="0.25">
      <c r="C190" s="26"/>
      <c r="D190" s="116"/>
      <c r="E190" s="34"/>
      <c r="F190" s="93" t="str">
        <f t="shared" si="9"/>
        <v>-</v>
      </c>
      <c r="H190" s="117"/>
      <c r="I190" s="26"/>
      <c r="J190" s="102" t="str">
        <f>IFERROR(MIN('MP Calculations'!$E$29/I190,1),"-")</f>
        <v>-</v>
      </c>
      <c r="K190" s="37"/>
      <c r="L190" s="26"/>
      <c r="M190" s="26"/>
      <c r="N190" s="26"/>
      <c r="O190" s="96" t="str">
        <f t="shared" si="8"/>
        <v>-</v>
      </c>
      <c r="P190" s="98" t="str">
        <f t="shared" si="10"/>
        <v>-</v>
      </c>
    </row>
    <row r="191" spans="3:16" x14ac:dyDescent="0.25">
      <c r="C191" s="26"/>
      <c r="D191" s="116"/>
      <c r="E191" s="34"/>
      <c r="F191" s="93" t="str">
        <f t="shared" si="9"/>
        <v>-</v>
      </c>
      <c r="H191" s="117"/>
      <c r="I191" s="26"/>
      <c r="J191" s="102" t="str">
        <f>IFERROR(MIN('MP Calculations'!$E$29/I191,1),"-")</f>
        <v>-</v>
      </c>
      <c r="K191" s="37"/>
      <c r="L191" s="26"/>
      <c r="M191" s="26"/>
      <c r="N191" s="26"/>
      <c r="O191" s="96" t="str">
        <f t="shared" si="8"/>
        <v>-</v>
      </c>
      <c r="P191" s="98" t="str">
        <f t="shared" si="10"/>
        <v>-</v>
      </c>
    </row>
    <row r="192" spans="3:16" x14ac:dyDescent="0.25">
      <c r="C192" s="26"/>
      <c r="D192" s="116"/>
      <c r="E192" s="34"/>
      <c r="F192" s="93" t="str">
        <f t="shared" si="9"/>
        <v>-</v>
      </c>
      <c r="H192" s="117"/>
      <c r="I192" s="26"/>
      <c r="J192" s="102" t="str">
        <f>IFERROR(MIN('MP Calculations'!$E$29/I192,1),"-")</f>
        <v>-</v>
      </c>
      <c r="K192" s="37"/>
      <c r="L192" s="26"/>
      <c r="M192" s="26"/>
      <c r="N192" s="26"/>
      <c r="O192" s="96" t="str">
        <f t="shared" si="8"/>
        <v>-</v>
      </c>
      <c r="P192" s="98" t="str">
        <f t="shared" si="10"/>
        <v>-</v>
      </c>
    </row>
    <row r="193" spans="3:16" x14ac:dyDescent="0.25">
      <c r="C193" s="26"/>
      <c r="D193" s="116"/>
      <c r="E193" s="34"/>
      <c r="F193" s="93" t="str">
        <f t="shared" si="9"/>
        <v>-</v>
      </c>
      <c r="H193" s="117"/>
      <c r="I193" s="26"/>
      <c r="J193" s="102" t="str">
        <f>IFERROR(MIN('MP Calculations'!$E$29/I193,1),"-")</f>
        <v>-</v>
      </c>
      <c r="K193" s="37"/>
      <c r="L193" s="26"/>
      <c r="M193" s="26"/>
      <c r="N193" s="26"/>
      <c r="O193" s="96" t="str">
        <f t="shared" si="8"/>
        <v>-</v>
      </c>
      <c r="P193" s="98" t="str">
        <f t="shared" si="10"/>
        <v>-</v>
      </c>
    </row>
    <row r="194" spans="3:16" x14ac:dyDescent="0.25">
      <c r="C194" s="26"/>
      <c r="D194" s="116"/>
      <c r="E194" s="34"/>
      <c r="F194" s="93" t="str">
        <f t="shared" si="9"/>
        <v>-</v>
      </c>
      <c r="H194" s="117"/>
      <c r="I194" s="26"/>
      <c r="J194" s="102" t="str">
        <f>IFERROR(MIN('MP Calculations'!$E$29/I194,1),"-")</f>
        <v>-</v>
      </c>
      <c r="K194" s="37"/>
      <c r="L194" s="26"/>
      <c r="M194" s="26"/>
      <c r="N194" s="26"/>
      <c r="O194" s="96" t="str">
        <f t="shared" si="8"/>
        <v>-</v>
      </c>
      <c r="P194" s="98" t="str">
        <f t="shared" si="10"/>
        <v>-</v>
      </c>
    </row>
    <row r="195" spans="3:16" x14ac:dyDescent="0.25">
      <c r="C195" s="26"/>
      <c r="D195" s="116"/>
      <c r="E195" s="34"/>
      <c r="F195" s="93" t="str">
        <f t="shared" si="9"/>
        <v>-</v>
      </c>
      <c r="H195" s="117"/>
      <c r="I195" s="26"/>
      <c r="J195" s="102" t="str">
        <f>IFERROR(MIN('MP Calculations'!$E$29/I195,1),"-")</f>
        <v>-</v>
      </c>
      <c r="K195" s="37"/>
      <c r="L195" s="26"/>
      <c r="M195" s="26"/>
      <c r="N195" s="26"/>
      <c r="O195" s="96" t="str">
        <f t="shared" si="8"/>
        <v>-</v>
      </c>
      <c r="P195" s="98" t="str">
        <f t="shared" si="10"/>
        <v>-</v>
      </c>
    </row>
    <row r="196" spans="3:16" x14ac:dyDescent="0.25">
      <c r="C196" s="26"/>
      <c r="D196" s="116"/>
      <c r="E196" s="34"/>
      <c r="F196" s="93" t="str">
        <f t="shared" si="9"/>
        <v>-</v>
      </c>
      <c r="H196" s="117"/>
      <c r="I196" s="26"/>
      <c r="J196" s="102" t="str">
        <f>IFERROR(MIN('MP Calculations'!$E$29/I196,1),"-")</f>
        <v>-</v>
      </c>
      <c r="K196" s="37"/>
      <c r="L196" s="26"/>
      <c r="M196" s="26"/>
      <c r="N196" s="26"/>
      <c r="O196" s="96" t="str">
        <f t="shared" si="8"/>
        <v>-</v>
      </c>
      <c r="P196" s="98" t="str">
        <f t="shared" si="10"/>
        <v>-</v>
      </c>
    </row>
    <row r="197" spans="3:16" x14ac:dyDescent="0.25">
      <c r="C197" s="26"/>
      <c r="D197" s="116"/>
      <c r="E197" s="34"/>
      <c r="F197" s="93" t="str">
        <f t="shared" si="9"/>
        <v>-</v>
      </c>
      <c r="H197" s="117"/>
      <c r="I197" s="26"/>
      <c r="J197" s="102" t="str">
        <f>IFERROR(MIN('MP Calculations'!$E$29/I197,1),"-")</f>
        <v>-</v>
      </c>
      <c r="K197" s="37"/>
      <c r="L197" s="26"/>
      <c r="M197" s="26"/>
      <c r="N197" s="26"/>
      <c r="O197" s="96" t="str">
        <f t="shared" si="8"/>
        <v>-</v>
      </c>
      <c r="P197" s="98" t="str">
        <f t="shared" si="10"/>
        <v>-</v>
      </c>
    </row>
    <row r="198" spans="3:16" x14ac:dyDescent="0.25">
      <c r="C198" s="26"/>
      <c r="D198" s="116"/>
      <c r="E198" s="34"/>
      <c r="F198" s="93" t="str">
        <f t="shared" si="9"/>
        <v>-</v>
      </c>
      <c r="H198" s="117"/>
      <c r="I198" s="26"/>
      <c r="J198" s="102" t="str">
        <f>IFERROR(MIN('MP Calculations'!$E$29/I198,1),"-")</f>
        <v>-</v>
      </c>
      <c r="K198" s="37"/>
      <c r="L198" s="26"/>
      <c r="M198" s="26"/>
      <c r="N198" s="26"/>
      <c r="O198" s="96" t="str">
        <f t="shared" si="8"/>
        <v>-</v>
      </c>
      <c r="P198" s="98" t="str">
        <f t="shared" si="10"/>
        <v>-</v>
      </c>
    </row>
    <row r="199" spans="3:16" x14ac:dyDescent="0.25">
      <c r="C199" s="26"/>
      <c r="D199" s="116"/>
      <c r="E199" s="34"/>
      <c r="F199" s="93" t="str">
        <f t="shared" si="9"/>
        <v>-</v>
      </c>
      <c r="H199" s="117"/>
      <c r="I199" s="26"/>
      <c r="J199" s="102" t="str">
        <f>IFERROR(MIN('MP Calculations'!$E$29/I199,1),"-")</f>
        <v>-</v>
      </c>
      <c r="K199" s="37"/>
      <c r="L199" s="26"/>
      <c r="M199" s="26"/>
      <c r="N199" s="26"/>
      <c r="O199" s="96" t="str">
        <f t="shared" si="8"/>
        <v>-</v>
      </c>
      <c r="P199" s="98" t="str">
        <f t="shared" si="10"/>
        <v>-</v>
      </c>
    </row>
    <row r="200" spans="3:16" x14ac:dyDescent="0.25">
      <c r="C200" s="26"/>
      <c r="D200" s="116"/>
      <c r="E200" s="34"/>
      <c r="F200" s="93" t="str">
        <f t="shared" si="9"/>
        <v>-</v>
      </c>
      <c r="H200" s="117"/>
      <c r="I200" s="26"/>
      <c r="J200" s="102" t="str">
        <f>IFERROR(MIN('MP Calculations'!$E$29/I200,1),"-")</f>
        <v>-</v>
      </c>
      <c r="K200" s="37"/>
      <c r="L200" s="26"/>
      <c r="M200" s="26"/>
      <c r="N200" s="26"/>
      <c r="O200" s="96" t="str">
        <f t="shared" si="8"/>
        <v>-</v>
      </c>
      <c r="P200" s="98" t="str">
        <f t="shared" si="10"/>
        <v>-</v>
      </c>
    </row>
    <row r="201" spans="3:16" x14ac:dyDescent="0.25">
      <c r="C201" s="26"/>
      <c r="D201" s="116"/>
      <c r="E201" s="34"/>
      <c r="F201" s="93" t="str">
        <f t="shared" si="9"/>
        <v>-</v>
      </c>
      <c r="H201" s="117"/>
      <c r="I201" s="26"/>
      <c r="J201" s="102" t="str">
        <f>IFERROR(MIN('MP Calculations'!$E$29/I201,1),"-")</f>
        <v>-</v>
      </c>
      <c r="K201" s="37"/>
      <c r="L201" s="26"/>
      <c r="M201" s="26"/>
      <c r="N201" s="26"/>
      <c r="O201" s="96" t="str">
        <f t="shared" si="8"/>
        <v>-</v>
      </c>
      <c r="P201" s="98" t="str">
        <f t="shared" si="10"/>
        <v>-</v>
      </c>
    </row>
    <row r="202" spans="3:16" x14ac:dyDescent="0.25">
      <c r="C202" s="26"/>
      <c r="D202" s="116"/>
      <c r="E202" s="34"/>
      <c r="F202" s="93" t="str">
        <f t="shared" si="9"/>
        <v>-</v>
      </c>
      <c r="H202" s="117"/>
      <c r="I202" s="26"/>
      <c r="J202" s="102" t="str">
        <f>IFERROR(MIN('MP Calculations'!$E$29/I202,1),"-")</f>
        <v>-</v>
      </c>
      <c r="K202" s="37"/>
      <c r="L202" s="26"/>
      <c r="M202" s="26"/>
      <c r="N202" s="26"/>
      <c r="O202" s="96" t="str">
        <f t="shared" si="8"/>
        <v>-</v>
      </c>
      <c r="P202" s="98" t="str">
        <f t="shared" si="10"/>
        <v>-</v>
      </c>
    </row>
    <row r="203" spans="3:16" x14ac:dyDescent="0.25">
      <c r="C203" s="26"/>
      <c r="D203" s="116"/>
      <c r="E203" s="34"/>
      <c r="F203" s="93" t="str">
        <f t="shared" si="9"/>
        <v>-</v>
      </c>
      <c r="H203" s="117"/>
      <c r="I203" s="26"/>
      <c r="J203" s="102" t="str">
        <f>IFERROR(MIN('MP Calculations'!$E$29/I203,1),"-")</f>
        <v>-</v>
      </c>
      <c r="K203" s="37"/>
      <c r="L203" s="26"/>
      <c r="M203" s="26"/>
      <c r="N203" s="26"/>
      <c r="O203" s="96" t="str">
        <f t="shared" si="8"/>
        <v>-</v>
      </c>
      <c r="P203" s="98" t="str">
        <f t="shared" si="10"/>
        <v>-</v>
      </c>
    </row>
    <row r="204" spans="3:16" x14ac:dyDescent="0.25">
      <c r="C204" s="26"/>
      <c r="D204" s="116"/>
      <c r="E204" s="34"/>
      <c r="F204" s="93" t="str">
        <f t="shared" si="9"/>
        <v>-</v>
      </c>
      <c r="H204" s="117"/>
      <c r="I204" s="26"/>
      <c r="J204" s="102" t="str">
        <f>IFERROR(MIN('MP Calculations'!$E$29/I204,1),"-")</f>
        <v>-</v>
      </c>
      <c r="K204" s="37"/>
      <c r="L204" s="26"/>
      <c r="M204" s="26"/>
      <c r="N204" s="26"/>
      <c r="O204" s="96" t="str">
        <f t="shared" si="8"/>
        <v>-</v>
      </c>
      <c r="P204" s="98" t="str">
        <f t="shared" si="10"/>
        <v>-</v>
      </c>
    </row>
    <row r="205" spans="3:16" x14ac:dyDescent="0.25">
      <c r="C205" s="26"/>
      <c r="D205" s="116"/>
      <c r="E205" s="34"/>
      <c r="F205" s="93" t="str">
        <f t="shared" si="9"/>
        <v>-</v>
      </c>
      <c r="H205" s="117"/>
      <c r="I205" s="26"/>
      <c r="J205" s="102" t="str">
        <f>IFERROR(MIN('MP Calculations'!$E$29/I205,1),"-")</f>
        <v>-</v>
      </c>
      <c r="K205" s="37"/>
      <c r="L205" s="26"/>
      <c r="M205" s="26"/>
      <c r="N205" s="26"/>
      <c r="O205" s="96" t="str">
        <f t="shared" si="8"/>
        <v>-</v>
      </c>
      <c r="P205" s="98" t="str">
        <f t="shared" si="10"/>
        <v>-</v>
      </c>
    </row>
    <row r="206" spans="3:16" x14ac:dyDescent="0.25">
      <c r="C206" s="26"/>
      <c r="D206" s="116"/>
      <c r="E206" s="34"/>
      <c r="F206" s="93" t="str">
        <f t="shared" si="9"/>
        <v>-</v>
      </c>
      <c r="H206" s="117"/>
      <c r="I206" s="26"/>
      <c r="J206" s="102" t="str">
        <f>IFERROR(MIN('MP Calculations'!$E$29/I206,1),"-")</f>
        <v>-</v>
      </c>
      <c r="K206" s="37"/>
      <c r="L206" s="26"/>
      <c r="M206" s="26"/>
      <c r="N206" s="26"/>
      <c r="O206" s="96" t="str">
        <f t="shared" si="8"/>
        <v>-</v>
      </c>
      <c r="P206" s="98" t="str">
        <f t="shared" si="10"/>
        <v>-</v>
      </c>
    </row>
    <row r="207" spans="3:16" x14ac:dyDescent="0.25">
      <c r="C207" s="26"/>
      <c r="D207" s="116"/>
      <c r="E207" s="34"/>
      <c r="F207" s="93" t="str">
        <f t="shared" si="9"/>
        <v>-</v>
      </c>
      <c r="H207" s="117"/>
      <c r="I207" s="26"/>
      <c r="J207" s="102" t="str">
        <f>IFERROR(MIN('MP Calculations'!$E$29/I207,1),"-")</f>
        <v>-</v>
      </c>
      <c r="K207" s="37"/>
      <c r="L207" s="26"/>
      <c r="M207" s="26"/>
      <c r="N207" s="26"/>
      <c r="O207" s="96" t="str">
        <f t="shared" si="8"/>
        <v>-</v>
      </c>
      <c r="P207" s="98" t="str">
        <f t="shared" si="10"/>
        <v>-</v>
      </c>
    </row>
    <row r="208" spans="3:16" x14ac:dyDescent="0.25">
      <c r="C208" s="26"/>
      <c r="D208" s="116"/>
      <c r="E208" s="34"/>
      <c r="F208" s="93" t="str">
        <f t="shared" si="9"/>
        <v>-</v>
      </c>
      <c r="H208" s="117"/>
      <c r="I208" s="26"/>
      <c r="J208" s="102" t="str">
        <f>IFERROR(MIN('MP Calculations'!$E$29/I208,1),"-")</f>
        <v>-</v>
      </c>
      <c r="K208" s="37"/>
      <c r="L208" s="26"/>
      <c r="M208" s="26"/>
      <c r="N208" s="26"/>
      <c r="O208" s="96" t="str">
        <f t="shared" si="8"/>
        <v>-</v>
      </c>
      <c r="P208" s="98" t="str">
        <f t="shared" si="10"/>
        <v>-</v>
      </c>
    </row>
    <row r="209" spans="3:16" x14ac:dyDescent="0.25">
      <c r="C209" s="26"/>
      <c r="D209" s="116"/>
      <c r="E209" s="34"/>
      <c r="F209" s="93" t="str">
        <f t="shared" si="9"/>
        <v>-</v>
      </c>
      <c r="H209" s="117"/>
      <c r="I209" s="26"/>
      <c r="J209" s="102" t="str">
        <f>IFERROR(MIN('MP Calculations'!$E$29/I209,1),"-")</f>
        <v>-</v>
      </c>
      <c r="K209" s="37"/>
      <c r="L209" s="26"/>
      <c r="M209" s="26"/>
      <c r="N209" s="26"/>
      <c r="O209" s="96" t="str">
        <f t="shared" si="8"/>
        <v>-</v>
      </c>
      <c r="P209" s="98" t="str">
        <f t="shared" si="10"/>
        <v>-</v>
      </c>
    </row>
    <row r="210" spans="3:16" x14ac:dyDescent="0.25">
      <c r="C210" s="26"/>
      <c r="D210" s="116"/>
      <c r="E210" s="34"/>
      <c r="F210" s="93" t="str">
        <f t="shared" si="9"/>
        <v>-</v>
      </c>
      <c r="H210" s="117"/>
      <c r="I210" s="26"/>
      <c r="J210" s="102" t="str">
        <f>IFERROR(MIN('MP Calculations'!$E$29/I210,1),"-")</f>
        <v>-</v>
      </c>
      <c r="K210" s="37"/>
      <c r="L210" s="26"/>
      <c r="M210" s="26"/>
      <c r="N210" s="26"/>
      <c r="O210" s="96" t="str">
        <f t="shared" si="8"/>
        <v>-</v>
      </c>
      <c r="P210" s="98" t="str">
        <f t="shared" si="10"/>
        <v>-</v>
      </c>
    </row>
    <row r="211" spans="3:16" x14ac:dyDescent="0.25">
      <c r="C211" s="26"/>
      <c r="D211" s="116"/>
      <c r="E211" s="34"/>
      <c r="F211" s="93" t="str">
        <f t="shared" si="9"/>
        <v>-</v>
      </c>
      <c r="H211" s="117"/>
      <c r="I211" s="26"/>
      <c r="J211" s="102" t="str">
        <f>IFERROR(MIN('MP Calculations'!$E$29/I211,1),"-")</f>
        <v>-</v>
      </c>
      <c r="K211" s="37"/>
      <c r="L211" s="26"/>
      <c r="M211" s="26"/>
      <c r="N211" s="26"/>
      <c r="O211" s="96" t="str">
        <f t="shared" si="8"/>
        <v>-</v>
      </c>
      <c r="P211" s="98" t="str">
        <f t="shared" si="10"/>
        <v>-</v>
      </c>
    </row>
    <row r="212" spans="3:16" x14ac:dyDescent="0.25">
      <c r="C212" s="26"/>
      <c r="D212" s="116"/>
      <c r="E212" s="34"/>
      <c r="F212" s="93" t="str">
        <f t="shared" si="9"/>
        <v>-</v>
      </c>
      <c r="H212" s="117"/>
      <c r="I212" s="26"/>
      <c r="J212" s="102" t="str">
        <f>IFERROR(MIN('MP Calculations'!$E$29/I212,1),"-")</f>
        <v>-</v>
      </c>
      <c r="K212" s="37"/>
      <c r="L212" s="26"/>
      <c r="M212" s="26"/>
      <c r="N212" s="26"/>
      <c r="O212" s="96" t="str">
        <f t="shared" si="8"/>
        <v>-</v>
      </c>
      <c r="P212" s="98" t="str">
        <f t="shared" si="10"/>
        <v>-</v>
      </c>
    </row>
    <row r="213" spans="3:16" x14ac:dyDescent="0.25">
      <c r="C213" s="26"/>
      <c r="D213" s="116"/>
      <c r="E213" s="34"/>
      <c r="F213" s="93" t="str">
        <f t="shared" si="9"/>
        <v>-</v>
      </c>
      <c r="H213" s="117"/>
      <c r="I213" s="26"/>
      <c r="J213" s="102" t="str">
        <f>IFERROR(MIN('MP Calculations'!$E$29/I213,1),"-")</f>
        <v>-</v>
      </c>
      <c r="K213" s="37"/>
      <c r="L213" s="26"/>
      <c r="M213" s="26"/>
      <c r="N213" s="26"/>
      <c r="O213" s="96" t="str">
        <f t="shared" si="8"/>
        <v>-</v>
      </c>
      <c r="P213" s="98" t="str">
        <f t="shared" si="10"/>
        <v>-</v>
      </c>
    </row>
    <row r="214" spans="3:16" x14ac:dyDescent="0.25">
      <c r="C214" s="26"/>
      <c r="D214" s="116"/>
      <c r="E214" s="34"/>
      <c r="F214" s="93" t="str">
        <f t="shared" si="9"/>
        <v>-</v>
      </c>
      <c r="H214" s="117"/>
      <c r="I214" s="26"/>
      <c r="J214" s="102" t="str">
        <f>IFERROR(MIN('MP Calculations'!$E$29/I214,1),"-")</f>
        <v>-</v>
      </c>
      <c r="K214" s="37"/>
      <c r="L214" s="26"/>
      <c r="M214" s="26"/>
      <c r="N214" s="26"/>
      <c r="O214" s="96" t="str">
        <f t="shared" si="8"/>
        <v>-</v>
      </c>
      <c r="P214" s="98" t="str">
        <f t="shared" si="10"/>
        <v>-</v>
      </c>
    </row>
    <row r="215" spans="3:16" x14ac:dyDescent="0.25">
      <c r="C215" s="26"/>
      <c r="D215" s="116"/>
      <c r="E215" s="34"/>
      <c r="F215" s="93" t="str">
        <f t="shared" si="9"/>
        <v>-</v>
      </c>
      <c r="H215" s="117"/>
      <c r="I215" s="26"/>
      <c r="J215" s="102" t="str">
        <f>IFERROR(MIN('MP Calculations'!$E$29/I215,1),"-")</f>
        <v>-</v>
      </c>
      <c r="K215" s="37"/>
      <c r="L215" s="26"/>
      <c r="M215" s="26"/>
      <c r="N215" s="26"/>
      <c r="O215" s="96" t="str">
        <f t="shared" ref="O215:O218" si="11">IF(N215="","-",L215*N215)</f>
        <v>-</v>
      </c>
      <c r="P215" s="98" t="str">
        <f t="shared" si="10"/>
        <v>-</v>
      </c>
    </row>
    <row r="216" spans="3:16" x14ac:dyDescent="0.25">
      <c r="C216" s="26"/>
      <c r="D216" s="116"/>
      <c r="E216" s="34"/>
      <c r="F216" s="93" t="str">
        <f t="shared" si="9"/>
        <v>-</v>
      </c>
      <c r="H216" s="117"/>
      <c r="I216" s="26"/>
      <c r="J216" s="102" t="str">
        <f>IFERROR(MIN('MP Calculations'!$E$29/I216,1),"-")</f>
        <v>-</v>
      </c>
      <c r="K216" s="37"/>
      <c r="L216" s="26"/>
      <c r="M216" s="26"/>
      <c r="N216" s="26"/>
      <c r="O216" s="96" t="str">
        <f t="shared" si="11"/>
        <v>-</v>
      </c>
      <c r="P216" s="98" t="str">
        <f t="shared" si="10"/>
        <v>-</v>
      </c>
    </row>
    <row r="217" spans="3:16" x14ac:dyDescent="0.25">
      <c r="C217" s="26"/>
      <c r="D217" s="116"/>
      <c r="E217" s="34"/>
      <c r="F217" s="93" t="str">
        <f t="shared" si="9"/>
        <v>-</v>
      </c>
      <c r="H217" s="117"/>
      <c r="I217" s="26"/>
      <c r="J217" s="102" t="str">
        <f>IFERROR(MIN('MP Calculations'!$E$29/I217,1),"-")</f>
        <v>-</v>
      </c>
      <c r="K217" s="37"/>
      <c r="L217" s="26"/>
      <c r="M217" s="26"/>
      <c r="N217" s="26"/>
      <c r="O217" s="96" t="str">
        <f t="shared" si="11"/>
        <v>-</v>
      </c>
      <c r="P217" s="98" t="str">
        <f t="shared" si="10"/>
        <v>-</v>
      </c>
    </row>
    <row r="218" spans="3:16" ht="57.5" x14ac:dyDescent="0.25">
      <c r="C218" s="30"/>
      <c r="D218" s="134"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135"/>
      <c r="F218" s="94" t="str">
        <f t="shared" si="3"/>
        <v>-</v>
      </c>
      <c r="H218" s="118"/>
      <c r="I218" s="31"/>
      <c r="J218" s="122" t="str">
        <f>IFERROR(MIN('MP Calculations'!$E$29/I218,1),"-")</f>
        <v>-</v>
      </c>
      <c r="L218" s="31"/>
      <c r="M218" s="31"/>
      <c r="N218" s="31"/>
      <c r="O218" s="123" t="str">
        <f t="shared" si="11"/>
        <v>-</v>
      </c>
      <c r="P218" s="99" t="str">
        <f t="shared" si="5"/>
        <v>-</v>
      </c>
    </row>
  </sheetData>
  <conditionalFormatting sqref="F22:F218">
    <cfRule type="containsText" dxfId="3" priority="2" operator="containsText" text="ERROR">
      <formula>NOT(ISERROR(SEARCH("ERROR",F22)))</formula>
    </cfRule>
  </conditionalFormatting>
  <conditionalFormatting sqref="J22:J218">
    <cfRule type="cellIs" dxfId="2" priority="1" operator="equal">
      <formula>1</formula>
    </cfRule>
  </conditionalFormatting>
  <hyperlinks>
    <hyperlink ref="E7" location="'Asset exclusions'!A1" display="'Asset exclusions'!A1" xr:uid="{00000000-0004-0000-0700-000000000000}"/>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N103"/>
  <sheetViews>
    <sheetView showGridLines="0" zoomScaleNormal="100" workbookViewId="0">
      <selection activeCell="G17" sqref="G17"/>
    </sheetView>
  </sheetViews>
  <sheetFormatPr defaultRowHeight="11.5" x14ac:dyDescent="0.25"/>
  <cols>
    <col min="1" max="2" width="2.69921875" customWidth="1"/>
    <col min="3" max="3" width="15.69921875" customWidth="1"/>
    <col min="4" max="4" width="21.09765625" customWidth="1"/>
    <col min="5" max="5" width="2.69921875" customWidth="1"/>
    <col min="6" max="6" width="15.69921875" customWidth="1"/>
    <col min="7" max="7" width="7.69921875" customWidth="1"/>
    <col min="8" max="8" width="2.69921875" customWidth="1"/>
    <col min="9" max="9" width="15.69921875" customWidth="1"/>
    <col min="10" max="10" width="7.69921875" customWidth="1"/>
    <col min="11" max="11" width="2.69921875" customWidth="1"/>
    <col min="12" max="12" width="15.69921875" customWidth="1"/>
    <col min="13" max="13" width="7.69921875" customWidth="1"/>
    <col min="14" max="14" width="2.69921875" customWidth="1"/>
    <col min="15" max="15" width="15.69921875" customWidth="1"/>
    <col min="16" max="16" width="7.69921875" customWidth="1"/>
    <col min="17" max="17" width="2.69921875" customWidth="1"/>
    <col min="18" max="18" width="15.69921875" customWidth="1"/>
    <col min="19" max="19" width="7.69921875" customWidth="1"/>
    <col min="20" max="20" width="2.69921875" customWidth="1"/>
    <col min="21" max="21" width="15.69921875" customWidth="1"/>
    <col min="22" max="22" width="7.69921875" customWidth="1"/>
    <col min="23" max="23" width="2.69921875" customWidth="1"/>
    <col min="24" max="24" width="15.69921875" customWidth="1"/>
    <col min="25" max="25" width="7.69921875" customWidth="1"/>
    <col min="26" max="26" width="2.69921875" customWidth="1"/>
    <col min="27" max="27" width="15.69921875" customWidth="1"/>
    <col min="28" max="28" width="7.69921875" customWidth="1"/>
    <col min="29" max="29" width="2.69921875" customWidth="1"/>
    <col min="30" max="30" width="15.69921875" customWidth="1"/>
    <col min="31" max="31" width="7.69921875" customWidth="1"/>
    <col min="32" max="32" width="2.69921875" customWidth="1"/>
    <col min="33" max="33" width="15.69921875" customWidth="1"/>
    <col min="36" max="36" width="29.59765625" customWidth="1"/>
    <col min="37" max="37" width="23.59765625" customWidth="1"/>
  </cols>
  <sheetData>
    <row r="3" spans="3:40" ht="20" x14ac:dyDescent="0.4">
      <c r="C3" s="59" t="s">
        <v>304</v>
      </c>
    </row>
    <row r="6" spans="3:40" x14ac:dyDescent="0.25">
      <c r="C6" s="6" t="s">
        <v>305</v>
      </c>
      <c r="F6" s="137">
        <f>'General inputs'!H36</f>
        <v>150</v>
      </c>
      <c r="G6" s="179" t="str">
        <f ca="1">"Input entered at "&amp;ADDRESS(ROW('General inputs'!$H$36),COLUMN('General inputs'!$H$36))&amp;" on the '"&amp;MID(CELL("filename",'General inputs'!$A$1),FIND("]",CELL("filename",'General inputs'!$A$1))+1,255)&amp;"' worksheet. "</f>
        <v xml:space="preserve">Input entered at $H$36 on the 'General inputs' worksheet. </v>
      </c>
    </row>
    <row r="8" spans="3:40" x14ac:dyDescent="0.25">
      <c r="F8" s="47" t="s">
        <v>306</v>
      </c>
      <c r="G8" s="47"/>
      <c r="H8" s="48"/>
      <c r="I8" s="47" t="s">
        <v>307</v>
      </c>
      <c r="J8" s="47"/>
      <c r="K8" s="48"/>
      <c r="L8" s="211" t="s">
        <v>308</v>
      </c>
      <c r="M8" s="212"/>
      <c r="N8" s="48"/>
      <c r="O8" s="211" t="s">
        <v>309</v>
      </c>
      <c r="P8" s="212"/>
      <c r="Q8" s="48"/>
      <c r="R8" s="211" t="s">
        <v>310</v>
      </c>
      <c r="S8" s="212"/>
      <c r="T8" s="48"/>
      <c r="U8" s="211" t="s">
        <v>311</v>
      </c>
      <c r="V8" s="212"/>
      <c r="W8" s="48"/>
      <c r="X8" s="211" t="s">
        <v>312</v>
      </c>
      <c r="Y8" s="212"/>
      <c r="Z8" s="48"/>
      <c r="AA8" s="211" t="s">
        <v>313</v>
      </c>
      <c r="AB8" s="212"/>
      <c r="AC8" s="48"/>
      <c r="AD8" s="211" t="s">
        <v>314</v>
      </c>
      <c r="AE8" s="212"/>
      <c r="AF8" s="48"/>
      <c r="AG8" s="211" t="s">
        <v>315</v>
      </c>
      <c r="AH8" s="212"/>
    </row>
    <row r="9" spans="3:40" x14ac:dyDescent="0.25">
      <c r="C9" s="6" t="s">
        <v>316</v>
      </c>
      <c r="F9" s="24" t="s">
        <v>317</v>
      </c>
      <c r="G9" s="64">
        <v>150</v>
      </c>
      <c r="H9" s="37"/>
      <c r="I9" s="24" t="s">
        <v>317</v>
      </c>
      <c r="J9" s="64">
        <v>150</v>
      </c>
      <c r="K9" s="37"/>
      <c r="L9" s="62" t="s">
        <v>318</v>
      </c>
      <c r="M9" s="63">
        <v>20000</v>
      </c>
      <c r="N9" s="37"/>
      <c r="O9" s="62" t="s">
        <v>319</v>
      </c>
      <c r="P9" s="63">
        <v>5000</v>
      </c>
      <c r="Q9" s="37"/>
      <c r="R9" s="62" t="s">
        <v>318</v>
      </c>
      <c r="S9" s="63">
        <v>20000</v>
      </c>
      <c r="T9" s="37"/>
      <c r="U9" s="62" t="s">
        <v>319</v>
      </c>
      <c r="V9" s="63">
        <v>5000</v>
      </c>
      <c r="W9" s="37"/>
      <c r="X9" s="62" t="s">
        <v>318</v>
      </c>
      <c r="Y9" s="63">
        <v>20000</v>
      </c>
      <c r="Z9" s="37"/>
      <c r="AA9" s="62" t="s">
        <v>319</v>
      </c>
      <c r="AB9" s="63">
        <v>5000</v>
      </c>
      <c r="AC9" s="37"/>
      <c r="AD9" s="62" t="s">
        <v>318</v>
      </c>
      <c r="AE9" s="63">
        <v>20000</v>
      </c>
      <c r="AF9" s="37"/>
      <c r="AG9" s="62" t="s">
        <v>319</v>
      </c>
      <c r="AH9" s="63">
        <v>5000</v>
      </c>
    </row>
    <row r="11" spans="3:40" ht="34.5" x14ac:dyDescent="0.25">
      <c r="D11" s="178" t="s">
        <v>320</v>
      </c>
      <c r="E11" s="35"/>
      <c r="F11" s="178" t="s">
        <v>321</v>
      </c>
      <c r="G11" s="37" t="s">
        <v>93</v>
      </c>
      <c r="H11" s="37"/>
      <c r="I11" s="35" t="s">
        <v>322</v>
      </c>
      <c r="J11" s="37" t="s">
        <v>93</v>
      </c>
      <c r="K11" s="37"/>
      <c r="L11" s="35" t="str">
        <f>"Annual take-up of "&amp;INDEX($AK$12:$AK$19,MATCH(L9,$AJ$12:$AJ$20,0))&amp;" for "&amp;L8</f>
        <v>Annual take-up of hectares for Schools</v>
      </c>
      <c r="M11" s="37" t="s">
        <v>93</v>
      </c>
      <c r="N11" s="37"/>
      <c r="O11" s="35" t="str">
        <f>"Annual take-up of "&amp;INDEX($AK$12:$AK$19,MATCH(O9,$AJ$12:$AJ$20,0))&amp;" for "&amp;O8</f>
        <v>Annual take-up of properties for Commercial</v>
      </c>
      <c r="P11" s="37" t="s">
        <v>93</v>
      </c>
      <c r="Q11" s="37"/>
      <c r="R11" s="35" t="str">
        <f>"Annual take-up of "&amp;INDEX($AK$12:$AK$19,MATCH(R9,$AJ$12:$AJ$20,0))&amp;" for "&amp;R8</f>
        <v>Annual take-up of hectares for Light industrial</v>
      </c>
      <c r="S11" s="37" t="s">
        <v>93</v>
      </c>
      <c r="T11" s="37"/>
      <c r="U11" s="35" t="str">
        <f>"Annual take-up of "&amp;INDEX($AK$12:$AK$19,MATCH(U9,$AJ$12:$AJ$20,0))&amp;" for "&amp;U8</f>
        <v>Annual take-up of properties for Non-res 4</v>
      </c>
      <c r="V11" s="37" t="s">
        <v>93</v>
      </c>
      <c r="W11" s="37"/>
      <c r="X11" s="35" t="str">
        <f>"Annual take-up of "&amp;INDEX($AK$12:$AK$19,MATCH(X9,$AJ$12:$AJ$20,0))&amp;" for "&amp;X8</f>
        <v>Annual take-up of hectares for Non-res 5</v>
      </c>
      <c r="Y11" s="37" t="s">
        <v>93</v>
      </c>
      <c r="Z11" s="37"/>
      <c r="AA11" s="35" t="str">
        <f>"Annual take-up of "&amp;INDEX($AK$12:$AK$19,MATCH(AA9,$AJ$12:$AJ$20,0))&amp;" for "&amp;AA8</f>
        <v>Annual take-up of properties for Non-res 6</v>
      </c>
      <c r="AB11" s="37" t="s">
        <v>93</v>
      </c>
      <c r="AC11" s="37"/>
      <c r="AD11" s="35" t="str">
        <f>"Annual take-up of "&amp;INDEX($AK$12:$AK$19,MATCH(AD9,$AJ$12:$AJ$20,0))&amp;" for "&amp;AD8</f>
        <v>Annual take-up of hectares for Non-res 7</v>
      </c>
      <c r="AE11" s="37" t="s">
        <v>93</v>
      </c>
      <c r="AF11" s="37"/>
      <c r="AG11" s="35" t="str">
        <f>"Annual take-up of "&amp;INDEX($AK$12:$AK$19,MATCH(AG9,$AJ$12:$AJ$20,0))&amp;" for "&amp;AG8</f>
        <v>Annual take-up of properties for Non-res 8</v>
      </c>
      <c r="AH11" s="37" t="s">
        <v>93</v>
      </c>
      <c r="AJ11" s="105" t="s">
        <v>323</v>
      </c>
      <c r="AK11" s="28"/>
      <c r="AM11" s="138"/>
      <c r="AN11" s="28"/>
    </row>
    <row r="12" spans="3:40" ht="12" customHeight="1" x14ac:dyDescent="0.25">
      <c r="C12" s="28" t="str">
        <f>'MP Calculations'!D39</f>
        <v>1995-96</v>
      </c>
      <c r="D12" s="44">
        <f>IF(LEFT($C12,4)*1&lt;LEFT('General inputs'!$I$16,4)+'General inputs'!$H$38,SUM(G12,J12,M12,P12,S12,V12,Y12,AB12,AE12,AH12),"")</f>
        <v>1163</v>
      </c>
      <c r="F12" s="49">
        <v>1163</v>
      </c>
      <c r="G12" s="44">
        <f>F12*$G$9/$F$6</f>
        <v>1163</v>
      </c>
      <c r="I12" s="49">
        <v>0</v>
      </c>
      <c r="J12" s="44">
        <f t="shared" ref="J12:J43" si="0">I12*$J$9/$F$6</f>
        <v>0</v>
      </c>
      <c r="L12" s="49">
        <v>0</v>
      </c>
      <c r="M12" s="44">
        <f t="shared" ref="M12:M43" si="1">L12*$M$9/$F$6</f>
        <v>0</v>
      </c>
      <c r="O12" s="49">
        <v>0</v>
      </c>
      <c r="P12" s="44">
        <f t="shared" ref="P12:P43" si="2">O12*$P$9/$F$6</f>
        <v>0</v>
      </c>
      <c r="R12" s="49">
        <v>0</v>
      </c>
      <c r="S12" s="44">
        <f t="shared" ref="S12:S52" si="3">R12*$S$9/$F$6</f>
        <v>0</v>
      </c>
      <c r="U12" s="49">
        <v>0</v>
      </c>
      <c r="V12" s="44">
        <f t="shared" ref="V12:V43" si="4">U12*$V$9/$F$6</f>
        <v>0</v>
      </c>
      <c r="X12" s="49">
        <v>0</v>
      </c>
      <c r="Y12" s="44">
        <f t="shared" ref="Y12:Y43" si="5">X12*$Y$9/$F$6</f>
        <v>0</v>
      </c>
      <c r="AA12" s="49">
        <v>0</v>
      </c>
      <c r="AB12" s="44">
        <f t="shared" ref="AB12:AB43" si="6">AA12*$AB$9/$F$6</f>
        <v>0</v>
      </c>
      <c r="AD12" s="49">
        <v>0</v>
      </c>
      <c r="AE12" s="44">
        <f t="shared" ref="AE12:AE43" si="7">AD12*$AE$9/$F$6</f>
        <v>0</v>
      </c>
      <c r="AG12" s="49">
        <v>0</v>
      </c>
      <c r="AH12" s="44">
        <f t="shared" ref="AH12:AH43" si="8">AG12*$AH$9/$F$6</f>
        <v>0</v>
      </c>
      <c r="AI12" s="106">
        <v>1</v>
      </c>
      <c r="AJ12" s="65" t="s">
        <v>319</v>
      </c>
      <c r="AK12" s="65" t="s">
        <v>324</v>
      </c>
    </row>
    <row r="13" spans="3:40" x14ac:dyDescent="0.25">
      <c r="C13" s="28" t="str">
        <f>'MP Calculations'!D40</f>
        <v>1996-97</v>
      </c>
      <c r="D13" s="45">
        <f>IF(LEFT($C13,4)*1&lt;LEFT('General inputs'!$I$16,4)+'General inputs'!$H$38,SUM(G13,J13,M13,P13,S13,V13,Y13,AB13,AE13,AH13),"")</f>
        <v>1163</v>
      </c>
      <c r="F13" s="39">
        <v>1163</v>
      </c>
      <c r="G13" s="45">
        <f t="shared" ref="G13:G43" si="9">F13*$G$9/$F$6</f>
        <v>1163</v>
      </c>
      <c r="I13" s="39">
        <v>0</v>
      </c>
      <c r="J13" s="45">
        <f t="shared" si="0"/>
        <v>0</v>
      </c>
      <c r="L13" s="39">
        <v>0</v>
      </c>
      <c r="M13" s="45">
        <f t="shared" si="1"/>
        <v>0</v>
      </c>
      <c r="O13" s="39">
        <v>0</v>
      </c>
      <c r="P13" s="45">
        <f t="shared" si="2"/>
        <v>0</v>
      </c>
      <c r="R13" s="39">
        <v>0</v>
      </c>
      <c r="S13" s="45">
        <f t="shared" si="3"/>
        <v>0</v>
      </c>
      <c r="U13" s="39">
        <v>0</v>
      </c>
      <c r="V13" s="45">
        <f t="shared" si="4"/>
        <v>0</v>
      </c>
      <c r="X13" s="39">
        <v>0</v>
      </c>
      <c r="Y13" s="45">
        <f t="shared" si="5"/>
        <v>0</v>
      </c>
      <c r="AA13" s="39">
        <v>0</v>
      </c>
      <c r="AB13" s="45">
        <f t="shared" si="6"/>
        <v>0</v>
      </c>
      <c r="AD13" s="39">
        <v>0</v>
      </c>
      <c r="AE13" s="45">
        <f t="shared" si="7"/>
        <v>0</v>
      </c>
      <c r="AG13" s="39">
        <v>0</v>
      </c>
      <c r="AH13" s="45">
        <f t="shared" si="8"/>
        <v>0</v>
      </c>
      <c r="AI13">
        <f>AI12+1</f>
        <v>2</v>
      </c>
      <c r="AJ13" s="27" t="s">
        <v>318</v>
      </c>
      <c r="AK13" s="27" t="s">
        <v>325</v>
      </c>
    </row>
    <row r="14" spans="3:40" x14ac:dyDescent="0.25">
      <c r="C14" s="28" t="str">
        <f>'MP Calculations'!D41</f>
        <v>1997-98</v>
      </c>
      <c r="D14" s="45">
        <f>IF(LEFT($C14,4)*1&lt;LEFT('General inputs'!$I$16,4)+'General inputs'!$H$38,SUM(G14,J14,M14,P14,S14,V14,Y14,AB14,AE14,AH14),"")</f>
        <v>1163</v>
      </c>
      <c r="F14" s="39">
        <v>1163</v>
      </c>
      <c r="G14" s="45">
        <f t="shared" si="9"/>
        <v>1163</v>
      </c>
      <c r="I14" s="39">
        <v>0</v>
      </c>
      <c r="J14" s="45">
        <f t="shared" si="0"/>
        <v>0</v>
      </c>
      <c r="L14" s="39">
        <v>0</v>
      </c>
      <c r="M14" s="45">
        <f t="shared" si="1"/>
        <v>0</v>
      </c>
      <c r="O14" s="39">
        <v>0</v>
      </c>
      <c r="P14" s="45">
        <f t="shared" si="2"/>
        <v>0</v>
      </c>
      <c r="R14" s="39">
        <v>0</v>
      </c>
      <c r="S14" s="45">
        <f t="shared" si="3"/>
        <v>0</v>
      </c>
      <c r="U14" s="39">
        <v>0</v>
      </c>
      <c r="V14" s="45">
        <f t="shared" si="4"/>
        <v>0</v>
      </c>
      <c r="X14" s="39">
        <v>0</v>
      </c>
      <c r="Y14" s="45">
        <f t="shared" si="5"/>
        <v>0</v>
      </c>
      <c r="AA14" s="39">
        <v>0</v>
      </c>
      <c r="AB14" s="45">
        <f t="shared" si="6"/>
        <v>0</v>
      </c>
      <c r="AD14" s="39">
        <v>0</v>
      </c>
      <c r="AE14" s="45">
        <f t="shared" si="7"/>
        <v>0</v>
      </c>
      <c r="AG14" s="39">
        <v>0</v>
      </c>
      <c r="AH14" s="45">
        <f t="shared" si="8"/>
        <v>0</v>
      </c>
      <c r="AI14">
        <f t="shared" ref="AI14:AI18" si="10">AI13+1</f>
        <v>3</v>
      </c>
      <c r="AJ14" s="27"/>
      <c r="AK14" s="27"/>
    </row>
    <row r="15" spans="3:40" x14ac:dyDescent="0.25">
      <c r="C15" s="28" t="str">
        <f>'MP Calculations'!D42</f>
        <v>1998-99</v>
      </c>
      <c r="D15" s="45">
        <f>IF(LEFT($C15,4)*1&lt;LEFT('General inputs'!$I$16,4)+'General inputs'!$H$38,SUM(G15,J15,M15,P15,S15,V15,Y15,AB15,AE15,AH15),"")</f>
        <v>1163</v>
      </c>
      <c r="F15" s="39">
        <v>1163</v>
      </c>
      <c r="G15" s="45">
        <f t="shared" si="9"/>
        <v>1163</v>
      </c>
      <c r="I15" s="39">
        <v>0</v>
      </c>
      <c r="J15" s="45">
        <f t="shared" si="0"/>
        <v>0</v>
      </c>
      <c r="L15" s="39">
        <v>0</v>
      </c>
      <c r="M15" s="45">
        <f t="shared" si="1"/>
        <v>0</v>
      </c>
      <c r="O15" s="39">
        <v>0</v>
      </c>
      <c r="P15" s="45">
        <f t="shared" si="2"/>
        <v>0</v>
      </c>
      <c r="R15" s="39">
        <v>0</v>
      </c>
      <c r="S15" s="45">
        <f t="shared" si="3"/>
        <v>0</v>
      </c>
      <c r="U15" s="39">
        <v>0</v>
      </c>
      <c r="V15" s="45">
        <f t="shared" si="4"/>
        <v>0</v>
      </c>
      <c r="X15" s="39">
        <v>0</v>
      </c>
      <c r="Y15" s="45">
        <f t="shared" si="5"/>
        <v>0</v>
      </c>
      <c r="AA15" s="39">
        <v>0</v>
      </c>
      <c r="AB15" s="45">
        <f t="shared" si="6"/>
        <v>0</v>
      </c>
      <c r="AD15" s="39">
        <v>0</v>
      </c>
      <c r="AE15" s="45">
        <f t="shared" si="7"/>
        <v>0</v>
      </c>
      <c r="AG15" s="39">
        <v>0</v>
      </c>
      <c r="AH15" s="45">
        <f t="shared" si="8"/>
        <v>0</v>
      </c>
      <c r="AI15">
        <f t="shared" si="10"/>
        <v>4</v>
      </c>
      <c r="AJ15" s="27"/>
      <c r="AK15" s="27"/>
      <c r="AL15" s="139" t="str">
        <f>"Provide plural notation for the units of measure entered at "&amp;ADDRESS(ROW($AJ$12),COLUMN($AJ$12))&amp;" to "&amp;ADDRESS(ROW($AJ$18),COLUMN($AJ$18))&amp;"."</f>
        <v>Provide plural notation for the units of measure entered at $AJ$12 to $AJ$18.</v>
      </c>
    </row>
    <row r="16" spans="3:40" x14ac:dyDescent="0.25">
      <c r="C16" s="28" t="str">
        <f>'MP Calculations'!D43</f>
        <v>1999-00</v>
      </c>
      <c r="D16" s="45">
        <f>IF(LEFT($C16,4)*1&lt;LEFT('General inputs'!$I$16,4)+'General inputs'!$H$38,SUM(G16,J16,M16,P16,S16,V16,Y16,AB16,AE16,AH16),"")</f>
        <v>1163</v>
      </c>
      <c r="F16" s="39">
        <v>1163</v>
      </c>
      <c r="G16" s="45">
        <f t="shared" si="9"/>
        <v>1163</v>
      </c>
      <c r="I16" s="39">
        <v>0</v>
      </c>
      <c r="J16" s="45">
        <f t="shared" si="0"/>
        <v>0</v>
      </c>
      <c r="L16" s="39">
        <v>0</v>
      </c>
      <c r="M16" s="45">
        <f t="shared" si="1"/>
        <v>0</v>
      </c>
      <c r="O16" s="39">
        <v>0</v>
      </c>
      <c r="P16" s="45">
        <f t="shared" si="2"/>
        <v>0</v>
      </c>
      <c r="R16" s="39">
        <v>0</v>
      </c>
      <c r="S16" s="45">
        <f t="shared" si="3"/>
        <v>0</v>
      </c>
      <c r="U16" s="39">
        <v>0</v>
      </c>
      <c r="V16" s="45">
        <f t="shared" si="4"/>
        <v>0</v>
      </c>
      <c r="X16" s="39">
        <v>0</v>
      </c>
      <c r="Y16" s="45">
        <f t="shared" si="5"/>
        <v>0</v>
      </c>
      <c r="AA16" s="39">
        <v>0</v>
      </c>
      <c r="AB16" s="45">
        <f t="shared" si="6"/>
        <v>0</v>
      </c>
      <c r="AD16" s="39">
        <v>0</v>
      </c>
      <c r="AE16" s="45">
        <f t="shared" si="7"/>
        <v>0</v>
      </c>
      <c r="AG16" s="39">
        <v>0</v>
      </c>
      <c r="AH16" s="45">
        <f t="shared" si="8"/>
        <v>0</v>
      </c>
      <c r="AI16">
        <f t="shared" si="10"/>
        <v>5</v>
      </c>
      <c r="AJ16" s="144"/>
      <c r="AK16" s="144"/>
      <c r="AL16" s="139" t="s">
        <v>326</v>
      </c>
    </row>
    <row r="17" spans="3:37" x14ac:dyDescent="0.25">
      <c r="C17" s="28" t="str">
        <f>'MP Calculations'!D44</f>
        <v>2000-01</v>
      </c>
      <c r="D17" s="45">
        <f>IF(LEFT($C17,4)*1&lt;LEFT('General inputs'!$I$16,4)+'General inputs'!$H$38,SUM(G17,J17,M17,P17,S17,V17,Y17,AB17,AE17,AH17),"")</f>
        <v>1163</v>
      </c>
      <c r="F17" s="39">
        <v>1163</v>
      </c>
      <c r="G17" s="45">
        <f t="shared" si="9"/>
        <v>1163</v>
      </c>
      <c r="I17" s="39">
        <v>0</v>
      </c>
      <c r="J17" s="45">
        <f t="shared" si="0"/>
        <v>0</v>
      </c>
      <c r="L17" s="39">
        <v>0</v>
      </c>
      <c r="M17" s="45">
        <f t="shared" si="1"/>
        <v>0</v>
      </c>
      <c r="O17" s="39">
        <v>0</v>
      </c>
      <c r="P17" s="45">
        <f t="shared" si="2"/>
        <v>0</v>
      </c>
      <c r="R17" s="39">
        <v>0</v>
      </c>
      <c r="S17" s="45">
        <f t="shared" si="3"/>
        <v>0</v>
      </c>
      <c r="U17" s="39">
        <v>0</v>
      </c>
      <c r="V17" s="45">
        <f t="shared" si="4"/>
        <v>0</v>
      </c>
      <c r="X17" s="39">
        <v>0</v>
      </c>
      <c r="Y17" s="45">
        <f t="shared" si="5"/>
        <v>0</v>
      </c>
      <c r="AA17" s="39">
        <v>0</v>
      </c>
      <c r="AB17" s="45">
        <f t="shared" si="6"/>
        <v>0</v>
      </c>
      <c r="AD17" s="39">
        <v>0</v>
      </c>
      <c r="AE17" s="45">
        <f t="shared" si="7"/>
        <v>0</v>
      </c>
      <c r="AG17" s="39">
        <v>0</v>
      </c>
      <c r="AH17" s="45">
        <f t="shared" si="8"/>
        <v>0</v>
      </c>
      <c r="AI17">
        <f t="shared" si="10"/>
        <v>6</v>
      </c>
      <c r="AJ17" s="27"/>
      <c r="AK17" s="27"/>
    </row>
    <row r="18" spans="3:37" x14ac:dyDescent="0.25">
      <c r="C18" s="28" t="str">
        <f>'MP Calculations'!D45</f>
        <v>2001-02</v>
      </c>
      <c r="D18" s="45">
        <f>IF(LEFT($C18,4)*1&lt;LEFT('General inputs'!$I$16,4)+'General inputs'!$H$38,SUM(G18,J18,M18,P18,S18,V18,Y18,AB18,AE18,AH18),"")</f>
        <v>903.6</v>
      </c>
      <c r="F18" s="39">
        <v>903.6</v>
      </c>
      <c r="G18" s="45">
        <f t="shared" si="9"/>
        <v>903.6</v>
      </c>
      <c r="I18" s="39">
        <v>0</v>
      </c>
      <c r="J18" s="45">
        <f t="shared" si="0"/>
        <v>0</v>
      </c>
      <c r="L18" s="39">
        <v>0</v>
      </c>
      <c r="M18" s="45">
        <f t="shared" si="1"/>
        <v>0</v>
      </c>
      <c r="O18" s="39">
        <v>0</v>
      </c>
      <c r="P18" s="45">
        <f t="shared" si="2"/>
        <v>0</v>
      </c>
      <c r="R18" s="39">
        <v>0</v>
      </c>
      <c r="S18" s="45">
        <f t="shared" si="3"/>
        <v>0</v>
      </c>
      <c r="U18" s="39">
        <v>0</v>
      </c>
      <c r="V18" s="45">
        <f t="shared" si="4"/>
        <v>0</v>
      </c>
      <c r="X18" s="39">
        <v>0</v>
      </c>
      <c r="Y18" s="45">
        <f t="shared" si="5"/>
        <v>0</v>
      </c>
      <c r="AA18" s="39">
        <v>0</v>
      </c>
      <c r="AB18" s="45">
        <f t="shared" si="6"/>
        <v>0</v>
      </c>
      <c r="AD18" s="39">
        <v>0</v>
      </c>
      <c r="AE18" s="45">
        <f t="shared" si="7"/>
        <v>0</v>
      </c>
      <c r="AG18" s="39">
        <v>0</v>
      </c>
      <c r="AH18" s="45">
        <f t="shared" si="8"/>
        <v>0</v>
      </c>
      <c r="AI18">
        <f t="shared" si="10"/>
        <v>7</v>
      </c>
      <c r="AJ18" s="27"/>
      <c r="AK18" s="27"/>
    </row>
    <row r="19" spans="3:37" x14ac:dyDescent="0.25">
      <c r="C19" s="28" t="str">
        <f>'MP Calculations'!D46</f>
        <v>2002-03</v>
      </c>
      <c r="D19" s="45">
        <f>IF(LEFT($C19,4)*1&lt;LEFT('General inputs'!$I$16,4)+'General inputs'!$H$38,SUM(G19,J19,M19,P19,S19,V19,Y19,AB19,AE19,AH19),"")</f>
        <v>903.6</v>
      </c>
      <c r="F19" s="39">
        <v>903.6</v>
      </c>
      <c r="G19" s="45">
        <f t="shared" si="9"/>
        <v>903.6</v>
      </c>
      <c r="I19" s="39">
        <v>0</v>
      </c>
      <c r="J19" s="45">
        <f t="shared" si="0"/>
        <v>0</v>
      </c>
      <c r="L19" s="39">
        <v>0</v>
      </c>
      <c r="M19" s="45">
        <f>L19*$M$9/$F$6</f>
        <v>0</v>
      </c>
      <c r="O19" s="39">
        <v>0</v>
      </c>
      <c r="P19" s="45">
        <f t="shared" si="2"/>
        <v>0</v>
      </c>
      <c r="R19" s="39">
        <v>0</v>
      </c>
      <c r="S19" s="45">
        <f t="shared" si="3"/>
        <v>0</v>
      </c>
      <c r="U19" s="39">
        <v>0</v>
      </c>
      <c r="V19" s="45">
        <f t="shared" si="4"/>
        <v>0</v>
      </c>
      <c r="X19" s="39">
        <v>0</v>
      </c>
      <c r="Y19" s="45">
        <f t="shared" si="5"/>
        <v>0</v>
      </c>
      <c r="AA19" s="39">
        <v>0</v>
      </c>
      <c r="AB19" s="45">
        <f t="shared" si="6"/>
        <v>0</v>
      </c>
      <c r="AD19" s="39">
        <v>0</v>
      </c>
      <c r="AE19" s="45">
        <f t="shared" si="7"/>
        <v>0</v>
      </c>
      <c r="AG19" s="39">
        <v>0</v>
      </c>
      <c r="AH19" s="45">
        <f t="shared" si="8"/>
        <v>0</v>
      </c>
      <c r="AJ19" s="107" t="str">
        <f>"add alternatives at "&amp;ADDRESS(ROW(AJ18),COLUMN(AJ18))&amp;":"&amp;ADDRESS(ROW(AJ23),COLUMN(AJ23))</f>
        <v>add alternatives at $AJ$18:$AJ$23</v>
      </c>
      <c r="AK19" s="31"/>
    </row>
    <row r="20" spans="3:37" x14ac:dyDescent="0.25">
      <c r="C20" s="28" t="str">
        <f>'MP Calculations'!D47</f>
        <v>2003-04</v>
      </c>
      <c r="D20" s="45">
        <f>IF(LEFT($C20,4)*1&lt;LEFT('General inputs'!$I$16,4)+'General inputs'!$H$38,SUM(G20,J20,M20,P20,S20,V20,Y20,AB20,AE20,AH20),"")</f>
        <v>903.6</v>
      </c>
      <c r="F20" s="39">
        <v>903.6</v>
      </c>
      <c r="G20" s="45">
        <f t="shared" si="9"/>
        <v>903.6</v>
      </c>
      <c r="I20" s="39">
        <v>0</v>
      </c>
      <c r="J20" s="45">
        <f t="shared" si="0"/>
        <v>0</v>
      </c>
      <c r="L20" s="39">
        <v>0</v>
      </c>
      <c r="M20" s="45">
        <f t="shared" si="1"/>
        <v>0</v>
      </c>
      <c r="O20" s="39">
        <v>0</v>
      </c>
      <c r="P20" s="45">
        <f t="shared" si="2"/>
        <v>0</v>
      </c>
      <c r="R20" s="39">
        <v>0</v>
      </c>
      <c r="S20" s="45">
        <f t="shared" si="3"/>
        <v>0</v>
      </c>
      <c r="U20" s="39">
        <v>0</v>
      </c>
      <c r="V20" s="45">
        <f t="shared" si="4"/>
        <v>0</v>
      </c>
      <c r="X20" s="39">
        <v>0</v>
      </c>
      <c r="Y20" s="45">
        <f t="shared" si="5"/>
        <v>0</v>
      </c>
      <c r="AA20" s="39">
        <v>0</v>
      </c>
      <c r="AB20" s="45">
        <f t="shared" si="6"/>
        <v>0</v>
      </c>
      <c r="AD20" s="39">
        <v>0</v>
      </c>
      <c r="AE20" s="45">
        <f t="shared" si="7"/>
        <v>0</v>
      </c>
      <c r="AG20" s="39">
        <v>0</v>
      </c>
      <c r="AH20" s="45">
        <f t="shared" si="8"/>
        <v>0</v>
      </c>
    </row>
    <row r="21" spans="3:37" x14ac:dyDescent="0.25">
      <c r="C21" s="28" t="str">
        <f>'MP Calculations'!D48</f>
        <v>2004-05</v>
      </c>
      <c r="D21" s="45">
        <f>IF(LEFT($C21,4)*1&lt;LEFT('General inputs'!$I$16,4)+'General inputs'!$H$38,SUM(G21,J21,M21,P21,S21,V21,Y21,AB21,AE21,AH21),"")</f>
        <v>903.6</v>
      </c>
      <c r="F21" s="39">
        <v>903.6</v>
      </c>
      <c r="G21" s="45">
        <f t="shared" si="9"/>
        <v>903.6</v>
      </c>
      <c r="I21" s="39">
        <v>0</v>
      </c>
      <c r="J21" s="45">
        <f t="shared" si="0"/>
        <v>0</v>
      </c>
      <c r="L21" s="39">
        <v>0</v>
      </c>
      <c r="M21" s="45">
        <f t="shared" si="1"/>
        <v>0</v>
      </c>
      <c r="O21" s="39">
        <v>0</v>
      </c>
      <c r="P21" s="45">
        <f t="shared" si="2"/>
        <v>0</v>
      </c>
      <c r="R21" s="39">
        <v>0</v>
      </c>
      <c r="S21" s="45">
        <f t="shared" si="3"/>
        <v>0</v>
      </c>
      <c r="U21" s="39">
        <v>0</v>
      </c>
      <c r="V21" s="45">
        <f t="shared" si="4"/>
        <v>0</v>
      </c>
      <c r="X21" s="39">
        <v>0</v>
      </c>
      <c r="Y21" s="45">
        <f t="shared" si="5"/>
        <v>0</v>
      </c>
      <c r="AA21" s="39">
        <v>0</v>
      </c>
      <c r="AB21" s="45">
        <f t="shared" si="6"/>
        <v>0</v>
      </c>
      <c r="AD21" s="39">
        <v>0</v>
      </c>
      <c r="AE21" s="45">
        <f t="shared" si="7"/>
        <v>0</v>
      </c>
      <c r="AG21" s="39">
        <v>0</v>
      </c>
      <c r="AH21" s="45">
        <f t="shared" si="8"/>
        <v>0</v>
      </c>
    </row>
    <row r="22" spans="3:37" x14ac:dyDescent="0.25">
      <c r="C22" s="28" t="str">
        <f>'MP Calculations'!D49</f>
        <v>2005-06</v>
      </c>
      <c r="D22" s="45">
        <f>IF(LEFT($C22,4)*1&lt;LEFT('General inputs'!$I$16,4)+'General inputs'!$H$38,SUM(G22,J22,M22,P22,S22,V22,Y22,AB22,AE22,AH22),"")</f>
        <v>903.6</v>
      </c>
      <c r="F22" s="39">
        <v>903.6</v>
      </c>
      <c r="G22" s="45">
        <f t="shared" si="9"/>
        <v>903.6</v>
      </c>
      <c r="I22" s="39">
        <v>0</v>
      </c>
      <c r="J22" s="45">
        <f t="shared" si="0"/>
        <v>0</v>
      </c>
      <c r="L22" s="39">
        <v>0</v>
      </c>
      <c r="M22" s="45">
        <f t="shared" si="1"/>
        <v>0</v>
      </c>
      <c r="O22" s="39">
        <v>0</v>
      </c>
      <c r="P22" s="45">
        <f t="shared" si="2"/>
        <v>0</v>
      </c>
      <c r="R22" s="39">
        <v>0</v>
      </c>
      <c r="S22" s="45">
        <f t="shared" si="3"/>
        <v>0</v>
      </c>
      <c r="U22" s="39">
        <v>0</v>
      </c>
      <c r="V22" s="45">
        <f t="shared" si="4"/>
        <v>0</v>
      </c>
      <c r="X22" s="39">
        <v>0</v>
      </c>
      <c r="Y22" s="45">
        <f t="shared" si="5"/>
        <v>0</v>
      </c>
      <c r="AA22" s="39">
        <v>0</v>
      </c>
      <c r="AB22" s="45">
        <f t="shared" si="6"/>
        <v>0</v>
      </c>
      <c r="AD22" s="39">
        <v>0</v>
      </c>
      <c r="AE22" s="45">
        <f t="shared" si="7"/>
        <v>0</v>
      </c>
      <c r="AG22" s="39">
        <v>0</v>
      </c>
      <c r="AH22" s="45">
        <f t="shared" si="8"/>
        <v>0</v>
      </c>
    </row>
    <row r="23" spans="3:37" x14ac:dyDescent="0.25">
      <c r="C23" s="28" t="str">
        <f>'MP Calculations'!D50</f>
        <v>2006-07</v>
      </c>
      <c r="D23" s="45">
        <f>IF(LEFT($C23,4)*1&lt;LEFT('General inputs'!$I$16,4)+'General inputs'!$H$38,SUM(G23,J23,M23,P23,S23,V23,Y23,AB23,AE23,AH23),"")</f>
        <v>903.6</v>
      </c>
      <c r="F23" s="39">
        <v>903.6</v>
      </c>
      <c r="G23" s="45">
        <f t="shared" si="9"/>
        <v>903.6</v>
      </c>
      <c r="I23" s="39">
        <v>0</v>
      </c>
      <c r="J23" s="45">
        <f t="shared" si="0"/>
        <v>0</v>
      </c>
      <c r="L23" s="39">
        <v>0</v>
      </c>
      <c r="M23" s="45">
        <f t="shared" si="1"/>
        <v>0</v>
      </c>
      <c r="O23" s="39">
        <v>0</v>
      </c>
      <c r="P23" s="45">
        <f t="shared" si="2"/>
        <v>0</v>
      </c>
      <c r="R23" s="39">
        <v>0</v>
      </c>
      <c r="S23" s="45">
        <f t="shared" si="3"/>
        <v>0</v>
      </c>
      <c r="U23" s="39">
        <v>0</v>
      </c>
      <c r="V23" s="45">
        <f t="shared" si="4"/>
        <v>0</v>
      </c>
      <c r="X23" s="39">
        <v>0</v>
      </c>
      <c r="Y23" s="45">
        <f t="shared" si="5"/>
        <v>0</v>
      </c>
      <c r="AA23" s="39">
        <v>0</v>
      </c>
      <c r="AB23" s="45">
        <f t="shared" si="6"/>
        <v>0</v>
      </c>
      <c r="AD23" s="39">
        <v>0</v>
      </c>
      <c r="AE23" s="45">
        <f t="shared" si="7"/>
        <v>0</v>
      </c>
      <c r="AG23" s="39">
        <v>0</v>
      </c>
      <c r="AH23" s="45">
        <f t="shared" si="8"/>
        <v>0</v>
      </c>
    </row>
    <row r="24" spans="3:37" x14ac:dyDescent="0.25">
      <c r="C24" s="28" t="str">
        <f>'MP Calculations'!D51</f>
        <v>2007-08</v>
      </c>
      <c r="D24" s="45">
        <f>IF(LEFT($C24,4)*1&lt;LEFT('General inputs'!$I$16,4)+'General inputs'!$H$38,SUM(G24,J24,M24,P24,S24,V24,Y24,AB24,AE24,AH24),"")</f>
        <v>394</v>
      </c>
      <c r="F24" s="39">
        <v>394</v>
      </c>
      <c r="G24" s="45">
        <f t="shared" si="9"/>
        <v>394</v>
      </c>
      <c r="I24" s="39">
        <v>0</v>
      </c>
      <c r="J24" s="45">
        <f t="shared" si="0"/>
        <v>0</v>
      </c>
      <c r="L24" s="39">
        <v>0</v>
      </c>
      <c r="M24" s="45">
        <f t="shared" si="1"/>
        <v>0</v>
      </c>
      <c r="O24" s="39">
        <v>0</v>
      </c>
      <c r="P24" s="45">
        <f t="shared" si="2"/>
        <v>0</v>
      </c>
      <c r="R24" s="39">
        <v>0</v>
      </c>
      <c r="S24" s="45">
        <f t="shared" si="3"/>
        <v>0</v>
      </c>
      <c r="U24" s="39">
        <v>0</v>
      </c>
      <c r="V24" s="45">
        <f t="shared" si="4"/>
        <v>0</v>
      </c>
      <c r="X24" s="39">
        <v>0</v>
      </c>
      <c r="Y24" s="45">
        <f t="shared" si="5"/>
        <v>0</v>
      </c>
      <c r="AA24" s="39">
        <v>0</v>
      </c>
      <c r="AB24" s="45">
        <f t="shared" si="6"/>
        <v>0</v>
      </c>
      <c r="AD24" s="39">
        <v>0</v>
      </c>
      <c r="AE24" s="45">
        <f t="shared" si="7"/>
        <v>0</v>
      </c>
      <c r="AG24" s="39">
        <v>0</v>
      </c>
      <c r="AH24" s="45">
        <f t="shared" si="8"/>
        <v>0</v>
      </c>
    </row>
    <row r="25" spans="3:37" x14ac:dyDescent="0.25">
      <c r="C25" s="28" t="str">
        <f>'MP Calculations'!D52</f>
        <v>2008-09</v>
      </c>
      <c r="D25" s="45">
        <f>IF(LEFT($C25,4)*1&lt;LEFT('General inputs'!$I$16,4)+'General inputs'!$H$38,SUM(G25,J25,M25,P25,S25,V25,Y25,AB25,AE25,AH25),"")</f>
        <v>249</v>
      </c>
      <c r="F25" s="39">
        <v>249</v>
      </c>
      <c r="G25" s="45">
        <f t="shared" si="9"/>
        <v>249</v>
      </c>
      <c r="I25" s="39">
        <v>0</v>
      </c>
      <c r="J25" s="45">
        <f t="shared" si="0"/>
        <v>0</v>
      </c>
      <c r="L25" s="39">
        <v>0</v>
      </c>
      <c r="M25" s="45">
        <f t="shared" si="1"/>
        <v>0</v>
      </c>
      <c r="O25" s="39">
        <v>0</v>
      </c>
      <c r="P25" s="45">
        <f t="shared" si="2"/>
        <v>0</v>
      </c>
      <c r="R25" s="39">
        <v>0</v>
      </c>
      <c r="S25" s="45">
        <f t="shared" si="3"/>
        <v>0</v>
      </c>
      <c r="U25" s="39">
        <v>0</v>
      </c>
      <c r="V25" s="45">
        <f t="shared" si="4"/>
        <v>0</v>
      </c>
      <c r="X25" s="39">
        <v>0</v>
      </c>
      <c r="Y25" s="45">
        <f t="shared" si="5"/>
        <v>0</v>
      </c>
      <c r="AA25" s="39">
        <v>0</v>
      </c>
      <c r="AB25" s="45">
        <f t="shared" si="6"/>
        <v>0</v>
      </c>
      <c r="AD25" s="39">
        <v>0</v>
      </c>
      <c r="AE25" s="45">
        <f t="shared" si="7"/>
        <v>0</v>
      </c>
      <c r="AG25" s="39">
        <v>0</v>
      </c>
      <c r="AH25" s="45">
        <f t="shared" si="8"/>
        <v>0</v>
      </c>
    </row>
    <row r="26" spans="3:37" x14ac:dyDescent="0.25">
      <c r="C26" s="28" t="str">
        <f>'MP Calculations'!D53</f>
        <v>2009-10</v>
      </c>
      <c r="D26" s="45">
        <f>IF(LEFT($C26,4)*1&lt;LEFT('General inputs'!$I$16,4)+'General inputs'!$H$38,SUM(G26,J26,M26,P26,S26,V26,Y26,AB26,AE26,AH26),"")</f>
        <v>483</v>
      </c>
      <c r="F26" s="39">
        <v>483</v>
      </c>
      <c r="G26" s="45">
        <f t="shared" si="9"/>
        <v>483</v>
      </c>
      <c r="I26" s="39">
        <v>0</v>
      </c>
      <c r="J26" s="45">
        <f t="shared" si="0"/>
        <v>0</v>
      </c>
      <c r="L26" s="39">
        <v>0</v>
      </c>
      <c r="M26" s="45">
        <f t="shared" si="1"/>
        <v>0</v>
      </c>
      <c r="O26" s="39">
        <v>0</v>
      </c>
      <c r="P26" s="45">
        <f t="shared" si="2"/>
        <v>0</v>
      </c>
      <c r="R26" s="39">
        <v>0</v>
      </c>
      <c r="S26" s="45">
        <f t="shared" si="3"/>
        <v>0</v>
      </c>
      <c r="U26" s="39">
        <v>0</v>
      </c>
      <c r="V26" s="45">
        <f t="shared" si="4"/>
        <v>0</v>
      </c>
      <c r="X26" s="39">
        <v>0</v>
      </c>
      <c r="Y26" s="45">
        <f t="shared" si="5"/>
        <v>0</v>
      </c>
      <c r="AA26" s="39">
        <v>0</v>
      </c>
      <c r="AB26" s="45">
        <f t="shared" si="6"/>
        <v>0</v>
      </c>
      <c r="AD26" s="39">
        <v>0</v>
      </c>
      <c r="AE26" s="45">
        <f t="shared" si="7"/>
        <v>0</v>
      </c>
      <c r="AG26" s="39">
        <v>0</v>
      </c>
      <c r="AH26" s="45">
        <f t="shared" si="8"/>
        <v>0</v>
      </c>
    </row>
    <row r="27" spans="3:37" x14ac:dyDescent="0.25">
      <c r="C27" s="28" t="str">
        <f>'MP Calculations'!D54</f>
        <v>2010-11</v>
      </c>
      <c r="D27" s="45">
        <f>IF(LEFT($C27,4)*1&lt;LEFT('General inputs'!$I$16,4)+'General inputs'!$H$38,SUM(G27,J27,M27,P27,S27,V27,Y27,AB27,AE27,AH27),"")</f>
        <v>153</v>
      </c>
      <c r="F27" s="39">
        <v>153</v>
      </c>
      <c r="G27" s="45">
        <f t="shared" si="9"/>
        <v>153</v>
      </c>
      <c r="I27" s="39">
        <v>0</v>
      </c>
      <c r="J27" s="45">
        <f t="shared" si="0"/>
        <v>0</v>
      </c>
      <c r="L27" s="39">
        <v>0</v>
      </c>
      <c r="M27" s="45">
        <f t="shared" si="1"/>
        <v>0</v>
      </c>
      <c r="O27" s="39">
        <v>0</v>
      </c>
      <c r="P27" s="45">
        <f t="shared" si="2"/>
        <v>0</v>
      </c>
      <c r="R27" s="39">
        <v>0</v>
      </c>
      <c r="S27" s="45">
        <f t="shared" si="3"/>
        <v>0</v>
      </c>
      <c r="U27" s="39">
        <v>0</v>
      </c>
      <c r="V27" s="45">
        <f t="shared" si="4"/>
        <v>0</v>
      </c>
      <c r="X27" s="39">
        <v>0</v>
      </c>
      <c r="Y27" s="45">
        <f t="shared" si="5"/>
        <v>0</v>
      </c>
      <c r="AA27" s="39">
        <v>0</v>
      </c>
      <c r="AB27" s="45">
        <f t="shared" si="6"/>
        <v>0</v>
      </c>
      <c r="AD27" s="39">
        <v>0</v>
      </c>
      <c r="AE27" s="45">
        <f t="shared" si="7"/>
        <v>0</v>
      </c>
      <c r="AG27" s="39">
        <v>0</v>
      </c>
      <c r="AH27" s="45">
        <f t="shared" si="8"/>
        <v>0</v>
      </c>
    </row>
    <row r="28" spans="3:37" x14ac:dyDescent="0.25">
      <c r="C28" s="28" t="str">
        <f>'MP Calculations'!D55</f>
        <v>2011-12</v>
      </c>
      <c r="D28" s="45">
        <f>IF(LEFT($C28,4)*1&lt;LEFT('General inputs'!$I$16,4)+'General inputs'!$H$38,SUM(G28,J28,M28,P28,S28,V28,Y28,AB28,AE28,AH28),"")</f>
        <v>282</v>
      </c>
      <c r="F28" s="39">
        <v>282</v>
      </c>
      <c r="G28" s="45">
        <f t="shared" si="9"/>
        <v>282</v>
      </c>
      <c r="I28" s="39">
        <v>0</v>
      </c>
      <c r="J28" s="45">
        <f t="shared" si="0"/>
        <v>0</v>
      </c>
      <c r="L28" s="39">
        <v>0</v>
      </c>
      <c r="M28" s="45">
        <f t="shared" si="1"/>
        <v>0</v>
      </c>
      <c r="O28" s="39">
        <v>0</v>
      </c>
      <c r="P28" s="45">
        <f t="shared" si="2"/>
        <v>0</v>
      </c>
      <c r="R28" s="39">
        <v>0</v>
      </c>
      <c r="S28" s="45">
        <f t="shared" si="3"/>
        <v>0</v>
      </c>
      <c r="U28" s="39">
        <v>0</v>
      </c>
      <c r="V28" s="45">
        <f t="shared" si="4"/>
        <v>0</v>
      </c>
      <c r="X28" s="39">
        <v>0</v>
      </c>
      <c r="Y28" s="45">
        <f t="shared" si="5"/>
        <v>0</v>
      </c>
      <c r="AA28" s="39">
        <v>0</v>
      </c>
      <c r="AB28" s="45">
        <f t="shared" si="6"/>
        <v>0</v>
      </c>
      <c r="AD28" s="39">
        <v>0</v>
      </c>
      <c r="AE28" s="45">
        <f t="shared" si="7"/>
        <v>0</v>
      </c>
      <c r="AG28" s="39">
        <v>0</v>
      </c>
      <c r="AH28" s="45">
        <f t="shared" si="8"/>
        <v>0</v>
      </c>
    </row>
    <row r="29" spans="3:37" x14ac:dyDescent="0.25">
      <c r="C29" s="28" t="str">
        <f>'MP Calculations'!D56</f>
        <v>2012-13</v>
      </c>
      <c r="D29" s="45">
        <f>IF(LEFT($C29,4)*1&lt;LEFT('General inputs'!$I$16,4)+'General inputs'!$H$38,SUM(G29,J29,M29,P29,S29,V29,Y29,AB29,AE29,AH29),"")</f>
        <v>288</v>
      </c>
      <c r="F29" s="39">
        <v>288</v>
      </c>
      <c r="G29" s="45">
        <f t="shared" si="9"/>
        <v>288</v>
      </c>
      <c r="I29" s="39">
        <v>0</v>
      </c>
      <c r="J29" s="45">
        <f t="shared" si="0"/>
        <v>0</v>
      </c>
      <c r="L29" s="39">
        <v>0</v>
      </c>
      <c r="M29" s="45">
        <f t="shared" si="1"/>
        <v>0</v>
      </c>
      <c r="O29" s="39">
        <v>0</v>
      </c>
      <c r="P29" s="45">
        <f t="shared" si="2"/>
        <v>0</v>
      </c>
      <c r="R29" s="39">
        <v>0</v>
      </c>
      <c r="S29" s="45">
        <f t="shared" si="3"/>
        <v>0</v>
      </c>
      <c r="U29" s="39">
        <v>0</v>
      </c>
      <c r="V29" s="45">
        <f t="shared" si="4"/>
        <v>0</v>
      </c>
      <c r="X29" s="39">
        <v>0</v>
      </c>
      <c r="Y29" s="45">
        <f t="shared" si="5"/>
        <v>0</v>
      </c>
      <c r="AA29" s="39">
        <v>0</v>
      </c>
      <c r="AB29" s="45">
        <f t="shared" si="6"/>
        <v>0</v>
      </c>
      <c r="AD29" s="39">
        <v>0</v>
      </c>
      <c r="AE29" s="45">
        <f t="shared" si="7"/>
        <v>0</v>
      </c>
      <c r="AG29" s="39">
        <v>0</v>
      </c>
      <c r="AH29" s="45">
        <f t="shared" si="8"/>
        <v>0</v>
      </c>
    </row>
    <row r="30" spans="3:37" x14ac:dyDescent="0.25">
      <c r="C30" s="28" t="str">
        <f>'MP Calculations'!D57</f>
        <v>2013-14</v>
      </c>
      <c r="D30" s="45">
        <f>IF(LEFT($C30,4)*1&lt;LEFT('General inputs'!$I$16,4)+'General inputs'!$H$38,SUM(G30,J30,M30,P30,S30,V30,Y30,AB30,AE30,AH30),"")</f>
        <v>476</v>
      </c>
      <c r="F30" s="39">
        <v>476</v>
      </c>
      <c r="G30" s="45">
        <f t="shared" si="9"/>
        <v>476</v>
      </c>
      <c r="I30" s="39">
        <v>0</v>
      </c>
      <c r="J30" s="45">
        <f t="shared" si="0"/>
        <v>0</v>
      </c>
      <c r="L30" s="39">
        <v>0</v>
      </c>
      <c r="M30" s="45">
        <f t="shared" si="1"/>
        <v>0</v>
      </c>
      <c r="O30" s="39">
        <v>0</v>
      </c>
      <c r="P30" s="45">
        <f t="shared" si="2"/>
        <v>0</v>
      </c>
      <c r="R30" s="39">
        <v>0</v>
      </c>
      <c r="S30" s="45">
        <f t="shared" si="3"/>
        <v>0</v>
      </c>
      <c r="U30" s="39">
        <v>0</v>
      </c>
      <c r="V30" s="45">
        <f t="shared" si="4"/>
        <v>0</v>
      </c>
      <c r="X30" s="39">
        <v>0</v>
      </c>
      <c r="Y30" s="45">
        <f t="shared" si="5"/>
        <v>0</v>
      </c>
      <c r="AA30" s="39">
        <v>0</v>
      </c>
      <c r="AB30" s="45">
        <f t="shared" si="6"/>
        <v>0</v>
      </c>
      <c r="AD30" s="39">
        <v>0</v>
      </c>
      <c r="AE30" s="45">
        <f t="shared" si="7"/>
        <v>0</v>
      </c>
      <c r="AG30" s="39">
        <v>0</v>
      </c>
      <c r="AH30" s="45">
        <f t="shared" si="8"/>
        <v>0</v>
      </c>
    </row>
    <row r="31" spans="3:37" x14ac:dyDescent="0.25">
      <c r="C31" s="28" t="str">
        <f>'MP Calculations'!D58</f>
        <v>2014-15</v>
      </c>
      <c r="D31" s="45">
        <f>IF(LEFT($C31,4)*1&lt;LEFT('General inputs'!$I$16,4)+'General inputs'!$H$38,SUM(G31,J31,M31,P31,S31,V31,Y31,AB31,AE31,AH31),"")</f>
        <v>656</v>
      </c>
      <c r="F31" s="39">
        <v>656</v>
      </c>
      <c r="G31" s="45">
        <f t="shared" si="9"/>
        <v>656</v>
      </c>
      <c r="I31" s="39">
        <v>0</v>
      </c>
      <c r="J31" s="45">
        <f t="shared" si="0"/>
        <v>0</v>
      </c>
      <c r="L31" s="39">
        <v>0</v>
      </c>
      <c r="M31" s="45">
        <f t="shared" si="1"/>
        <v>0</v>
      </c>
      <c r="O31" s="39">
        <v>0</v>
      </c>
      <c r="P31" s="45">
        <f t="shared" si="2"/>
        <v>0</v>
      </c>
      <c r="R31" s="39">
        <v>0</v>
      </c>
      <c r="S31" s="45">
        <f t="shared" si="3"/>
        <v>0</v>
      </c>
      <c r="U31" s="39">
        <v>0</v>
      </c>
      <c r="V31" s="45">
        <f t="shared" si="4"/>
        <v>0</v>
      </c>
      <c r="X31" s="39">
        <v>0</v>
      </c>
      <c r="Y31" s="45">
        <f t="shared" si="5"/>
        <v>0</v>
      </c>
      <c r="AA31" s="39">
        <v>0</v>
      </c>
      <c r="AB31" s="45">
        <f t="shared" si="6"/>
        <v>0</v>
      </c>
      <c r="AD31" s="39">
        <v>0</v>
      </c>
      <c r="AE31" s="45">
        <f t="shared" si="7"/>
        <v>0</v>
      </c>
      <c r="AG31" s="39">
        <v>0</v>
      </c>
      <c r="AH31" s="45">
        <f t="shared" si="8"/>
        <v>0</v>
      </c>
    </row>
    <row r="32" spans="3:37" x14ac:dyDescent="0.25">
      <c r="C32" s="28" t="str">
        <f>'MP Calculations'!D59</f>
        <v>2015-16</v>
      </c>
      <c r="D32" s="45">
        <f>IF(LEFT($C32,4)*1&lt;LEFT('General inputs'!$I$16,4)+'General inputs'!$H$38,SUM(G32,J32,M32,P32,S32,V32,Y32,AB32,AE32,AH32),"")</f>
        <v>798</v>
      </c>
      <c r="F32" s="39">
        <v>798</v>
      </c>
      <c r="G32" s="45">
        <f t="shared" si="9"/>
        <v>798</v>
      </c>
      <c r="I32" s="39">
        <v>0</v>
      </c>
      <c r="J32" s="45">
        <f t="shared" si="0"/>
        <v>0</v>
      </c>
      <c r="L32" s="39">
        <v>0</v>
      </c>
      <c r="M32" s="45">
        <f t="shared" si="1"/>
        <v>0</v>
      </c>
      <c r="O32" s="39">
        <v>0</v>
      </c>
      <c r="P32" s="45">
        <f t="shared" si="2"/>
        <v>0</v>
      </c>
      <c r="R32" s="39">
        <v>0</v>
      </c>
      <c r="S32" s="45">
        <f t="shared" si="3"/>
        <v>0</v>
      </c>
      <c r="U32" s="39">
        <v>0</v>
      </c>
      <c r="V32" s="45">
        <f t="shared" si="4"/>
        <v>0</v>
      </c>
      <c r="X32" s="39">
        <v>0</v>
      </c>
      <c r="Y32" s="45">
        <f t="shared" si="5"/>
        <v>0</v>
      </c>
      <c r="AA32" s="39">
        <v>0</v>
      </c>
      <c r="AB32" s="45">
        <f t="shared" si="6"/>
        <v>0</v>
      </c>
      <c r="AD32" s="39">
        <v>0</v>
      </c>
      <c r="AE32" s="45">
        <f t="shared" si="7"/>
        <v>0</v>
      </c>
      <c r="AG32" s="39">
        <v>0</v>
      </c>
      <c r="AH32" s="45">
        <f t="shared" si="8"/>
        <v>0</v>
      </c>
    </row>
    <row r="33" spans="3:34" x14ac:dyDescent="0.25">
      <c r="C33" s="28" t="str">
        <f>'MP Calculations'!D60</f>
        <v>2016-17</v>
      </c>
      <c r="D33" s="45">
        <f>IF(LEFT($C33,4)*1&lt;LEFT('General inputs'!$I$16,4)+'General inputs'!$H$38,SUM(G33,J33,M33,P33,S33,V33,Y33,AB33,AE33,AH33),"")</f>
        <v>1277.8699999999999</v>
      </c>
      <c r="F33" s="39">
        <v>1277.8699999999999</v>
      </c>
      <c r="G33" s="45">
        <f t="shared" si="9"/>
        <v>1277.8699999999999</v>
      </c>
      <c r="I33" s="39">
        <v>0</v>
      </c>
      <c r="J33" s="45">
        <f t="shared" si="0"/>
        <v>0</v>
      </c>
      <c r="L33" s="39">
        <v>0</v>
      </c>
      <c r="M33" s="45">
        <f t="shared" si="1"/>
        <v>0</v>
      </c>
      <c r="O33" s="39">
        <v>0</v>
      </c>
      <c r="P33" s="45">
        <f t="shared" si="2"/>
        <v>0</v>
      </c>
      <c r="R33" s="39">
        <v>0</v>
      </c>
      <c r="S33" s="45">
        <f t="shared" si="3"/>
        <v>0</v>
      </c>
      <c r="U33" s="39">
        <v>0</v>
      </c>
      <c r="V33" s="45">
        <f t="shared" si="4"/>
        <v>0</v>
      </c>
      <c r="X33" s="39">
        <v>0</v>
      </c>
      <c r="Y33" s="45">
        <f t="shared" si="5"/>
        <v>0</v>
      </c>
      <c r="AA33" s="39">
        <v>0</v>
      </c>
      <c r="AB33" s="45">
        <f t="shared" si="6"/>
        <v>0</v>
      </c>
      <c r="AD33" s="39">
        <v>0</v>
      </c>
      <c r="AE33" s="45">
        <f t="shared" si="7"/>
        <v>0</v>
      </c>
      <c r="AG33" s="39">
        <v>0</v>
      </c>
      <c r="AH33" s="45">
        <f t="shared" si="8"/>
        <v>0</v>
      </c>
    </row>
    <row r="34" spans="3:34" x14ac:dyDescent="0.25">
      <c r="C34" s="28" t="str">
        <f>'MP Calculations'!D61</f>
        <v>2017-18</v>
      </c>
      <c r="D34" s="45">
        <f>IF(LEFT($C34,4)*1&lt;LEFT('General inputs'!$I$16,4)+'General inputs'!$H$38,SUM(G34,J34,M34,P34,S34,V34,Y34,AB34,AE34,AH34),"")</f>
        <v>806</v>
      </c>
      <c r="F34" s="39">
        <v>806</v>
      </c>
      <c r="G34" s="45">
        <f t="shared" si="9"/>
        <v>806</v>
      </c>
      <c r="I34" s="39">
        <v>0</v>
      </c>
      <c r="J34" s="45">
        <f t="shared" si="0"/>
        <v>0</v>
      </c>
      <c r="L34" s="39">
        <v>0</v>
      </c>
      <c r="M34" s="45">
        <f t="shared" si="1"/>
        <v>0</v>
      </c>
      <c r="O34" s="39">
        <v>0</v>
      </c>
      <c r="P34" s="45">
        <f t="shared" si="2"/>
        <v>0</v>
      </c>
      <c r="R34" s="39">
        <v>0</v>
      </c>
      <c r="S34" s="45">
        <f t="shared" si="3"/>
        <v>0</v>
      </c>
      <c r="U34" s="39">
        <v>0</v>
      </c>
      <c r="V34" s="45">
        <f t="shared" si="4"/>
        <v>0</v>
      </c>
      <c r="X34" s="39">
        <v>0</v>
      </c>
      <c r="Y34" s="45">
        <f t="shared" si="5"/>
        <v>0</v>
      </c>
      <c r="AA34" s="39">
        <v>0</v>
      </c>
      <c r="AB34" s="45">
        <f t="shared" si="6"/>
        <v>0</v>
      </c>
      <c r="AD34" s="39">
        <v>0</v>
      </c>
      <c r="AE34" s="45">
        <f t="shared" si="7"/>
        <v>0</v>
      </c>
      <c r="AG34" s="39">
        <v>0</v>
      </c>
      <c r="AH34" s="45">
        <f t="shared" si="8"/>
        <v>0</v>
      </c>
    </row>
    <row r="35" spans="3:34" x14ac:dyDescent="0.25">
      <c r="C35" s="28" t="str">
        <f>'MP Calculations'!D62</f>
        <v>2018-19</v>
      </c>
      <c r="D35" s="45">
        <f>IF(LEFT($C35,4)*1&lt;LEFT('General inputs'!$I$16,4)+'General inputs'!$H$38,SUM(G35,J35,M35,P35,S35,V35,Y35,AB35,AE35,AH35),"")</f>
        <v>849</v>
      </c>
      <c r="F35" s="39">
        <v>849</v>
      </c>
      <c r="G35" s="45">
        <f t="shared" si="9"/>
        <v>849</v>
      </c>
      <c r="I35" s="39">
        <v>0</v>
      </c>
      <c r="J35" s="45">
        <f t="shared" si="0"/>
        <v>0</v>
      </c>
      <c r="L35" s="39">
        <v>0</v>
      </c>
      <c r="M35" s="45">
        <f t="shared" si="1"/>
        <v>0</v>
      </c>
      <c r="O35" s="39">
        <v>0</v>
      </c>
      <c r="P35" s="45">
        <f t="shared" si="2"/>
        <v>0</v>
      </c>
      <c r="R35" s="39">
        <v>0</v>
      </c>
      <c r="S35" s="45">
        <f t="shared" si="3"/>
        <v>0</v>
      </c>
      <c r="U35" s="39">
        <v>0</v>
      </c>
      <c r="V35" s="45">
        <f t="shared" si="4"/>
        <v>0</v>
      </c>
      <c r="X35" s="39">
        <v>0</v>
      </c>
      <c r="Y35" s="45">
        <f t="shared" si="5"/>
        <v>0</v>
      </c>
      <c r="AA35" s="39">
        <v>0</v>
      </c>
      <c r="AB35" s="45">
        <f t="shared" si="6"/>
        <v>0</v>
      </c>
      <c r="AD35" s="39">
        <v>0</v>
      </c>
      <c r="AE35" s="45">
        <f t="shared" si="7"/>
        <v>0</v>
      </c>
      <c r="AG35" s="39">
        <v>0</v>
      </c>
      <c r="AH35" s="45">
        <f t="shared" si="8"/>
        <v>0</v>
      </c>
    </row>
    <row r="36" spans="3:34" x14ac:dyDescent="0.25">
      <c r="C36" s="28" t="str">
        <f>'MP Calculations'!D63</f>
        <v>2019-20</v>
      </c>
      <c r="D36" s="45">
        <f>IF(LEFT($C36,4)*1&lt;LEFT('General inputs'!$I$16,4)+'General inputs'!$H$38,SUM(G36,J36,M36,P36,S36,V36,Y36,AB36,AE36,AH36),"")</f>
        <v>849</v>
      </c>
      <c r="F36" s="39">
        <v>849</v>
      </c>
      <c r="G36" s="45">
        <f t="shared" si="9"/>
        <v>849</v>
      </c>
      <c r="I36" s="39">
        <v>0</v>
      </c>
      <c r="J36" s="45">
        <f t="shared" si="0"/>
        <v>0</v>
      </c>
      <c r="L36" s="39">
        <v>0</v>
      </c>
      <c r="M36" s="45">
        <f t="shared" si="1"/>
        <v>0</v>
      </c>
      <c r="O36" s="39">
        <v>0</v>
      </c>
      <c r="P36" s="45">
        <f t="shared" si="2"/>
        <v>0</v>
      </c>
      <c r="R36" s="39">
        <v>0</v>
      </c>
      <c r="S36" s="45">
        <f t="shared" si="3"/>
        <v>0</v>
      </c>
      <c r="U36" s="39">
        <v>0</v>
      </c>
      <c r="V36" s="45">
        <f t="shared" si="4"/>
        <v>0</v>
      </c>
      <c r="X36" s="39">
        <v>0</v>
      </c>
      <c r="Y36" s="45">
        <f t="shared" si="5"/>
        <v>0</v>
      </c>
      <c r="AA36" s="39">
        <v>0</v>
      </c>
      <c r="AB36" s="45">
        <f t="shared" si="6"/>
        <v>0</v>
      </c>
      <c r="AD36" s="39">
        <v>0</v>
      </c>
      <c r="AE36" s="45">
        <f t="shared" si="7"/>
        <v>0</v>
      </c>
      <c r="AG36" s="39">
        <v>0</v>
      </c>
      <c r="AH36" s="45">
        <f t="shared" si="8"/>
        <v>0</v>
      </c>
    </row>
    <row r="37" spans="3:34" x14ac:dyDescent="0.25">
      <c r="C37" s="28" t="str">
        <f>'MP Calculations'!D64</f>
        <v>2020-21</v>
      </c>
      <c r="D37" s="45">
        <f>IF(LEFT($C37,4)*1&lt;LEFT('General inputs'!$I$16,4)+'General inputs'!$H$38,SUM(G37,J37,M37,P37,S37,V37,Y37,AB37,AE37,AH37),"")</f>
        <v>783</v>
      </c>
      <c r="F37" s="39">
        <v>783</v>
      </c>
      <c r="G37" s="45">
        <f t="shared" si="9"/>
        <v>783</v>
      </c>
      <c r="I37" s="39">
        <v>0</v>
      </c>
      <c r="J37" s="45">
        <f t="shared" si="0"/>
        <v>0</v>
      </c>
      <c r="L37" s="39">
        <v>0</v>
      </c>
      <c r="M37" s="45">
        <f t="shared" si="1"/>
        <v>0</v>
      </c>
      <c r="O37" s="39">
        <v>0</v>
      </c>
      <c r="P37" s="45">
        <f t="shared" si="2"/>
        <v>0</v>
      </c>
      <c r="R37" s="39">
        <v>0</v>
      </c>
      <c r="S37" s="45">
        <f t="shared" si="3"/>
        <v>0</v>
      </c>
      <c r="U37" s="39">
        <v>0</v>
      </c>
      <c r="V37" s="45">
        <f t="shared" si="4"/>
        <v>0</v>
      </c>
      <c r="X37" s="39">
        <v>0</v>
      </c>
      <c r="Y37" s="45">
        <f t="shared" si="5"/>
        <v>0</v>
      </c>
      <c r="AA37" s="39">
        <v>0</v>
      </c>
      <c r="AB37" s="45">
        <f t="shared" si="6"/>
        <v>0</v>
      </c>
      <c r="AD37" s="39">
        <v>0</v>
      </c>
      <c r="AE37" s="45">
        <f t="shared" si="7"/>
        <v>0</v>
      </c>
      <c r="AG37" s="39">
        <v>0</v>
      </c>
      <c r="AH37" s="45">
        <f t="shared" si="8"/>
        <v>0</v>
      </c>
    </row>
    <row r="38" spans="3:34" x14ac:dyDescent="0.25">
      <c r="C38" s="28" t="str">
        <f>'MP Calculations'!D65</f>
        <v>2021-22</v>
      </c>
      <c r="D38" s="45">
        <f>IF(LEFT($C38,4)*1&lt;LEFT('General inputs'!$I$16,4)+'General inputs'!$H$38,SUM(G38,J38,M38,P38,S38,V38,Y38,AB38,AE38,AH38),"")</f>
        <v>501</v>
      </c>
      <c r="F38" s="39">
        <v>501</v>
      </c>
      <c r="G38" s="45">
        <f t="shared" si="9"/>
        <v>501</v>
      </c>
      <c r="I38" s="39">
        <v>0</v>
      </c>
      <c r="J38" s="45">
        <f t="shared" si="0"/>
        <v>0</v>
      </c>
      <c r="L38" s="39">
        <v>0</v>
      </c>
      <c r="M38" s="45">
        <f t="shared" si="1"/>
        <v>0</v>
      </c>
      <c r="O38" s="39">
        <v>0</v>
      </c>
      <c r="P38" s="45">
        <f t="shared" si="2"/>
        <v>0</v>
      </c>
      <c r="R38" s="39">
        <v>0</v>
      </c>
      <c r="S38" s="45">
        <f t="shared" si="3"/>
        <v>0</v>
      </c>
      <c r="U38" s="39">
        <v>0</v>
      </c>
      <c r="V38" s="45">
        <f t="shared" si="4"/>
        <v>0</v>
      </c>
      <c r="X38" s="39">
        <v>0</v>
      </c>
      <c r="Y38" s="45">
        <f t="shared" si="5"/>
        <v>0</v>
      </c>
      <c r="AA38" s="39">
        <v>0</v>
      </c>
      <c r="AB38" s="45">
        <f t="shared" si="6"/>
        <v>0</v>
      </c>
      <c r="AD38" s="39">
        <v>0</v>
      </c>
      <c r="AE38" s="45">
        <f t="shared" si="7"/>
        <v>0</v>
      </c>
      <c r="AG38" s="39">
        <v>0</v>
      </c>
      <c r="AH38" s="45">
        <f t="shared" si="8"/>
        <v>0</v>
      </c>
    </row>
    <row r="39" spans="3:34" x14ac:dyDescent="0.25">
      <c r="C39" s="28" t="str">
        <f>'MP Calculations'!D66</f>
        <v>2022-23</v>
      </c>
      <c r="D39" s="45">
        <f>IF(LEFT($C39,4)*1&lt;LEFT('General inputs'!$I$16,4)+'General inputs'!$H$38,SUM(G39,J39,M39,P39,S39,V39,Y39,AB39,AE39,AH39),"")</f>
        <v>551</v>
      </c>
      <c r="F39" s="39">
        <v>551</v>
      </c>
      <c r="G39" s="45">
        <f t="shared" si="9"/>
        <v>551</v>
      </c>
      <c r="I39" s="39">
        <v>0</v>
      </c>
      <c r="J39" s="45">
        <f t="shared" si="0"/>
        <v>0</v>
      </c>
      <c r="L39" s="39">
        <v>0</v>
      </c>
      <c r="M39" s="45">
        <f t="shared" si="1"/>
        <v>0</v>
      </c>
      <c r="O39" s="39">
        <v>0</v>
      </c>
      <c r="P39" s="45">
        <f t="shared" si="2"/>
        <v>0</v>
      </c>
      <c r="R39" s="39">
        <v>0</v>
      </c>
      <c r="S39" s="45">
        <f t="shared" si="3"/>
        <v>0</v>
      </c>
      <c r="U39" s="39">
        <v>0</v>
      </c>
      <c r="V39" s="45">
        <f t="shared" si="4"/>
        <v>0</v>
      </c>
      <c r="X39" s="39">
        <v>0</v>
      </c>
      <c r="Y39" s="45">
        <f t="shared" si="5"/>
        <v>0</v>
      </c>
      <c r="AA39" s="39">
        <v>0</v>
      </c>
      <c r="AB39" s="45">
        <f t="shared" si="6"/>
        <v>0</v>
      </c>
      <c r="AD39" s="39">
        <v>0</v>
      </c>
      <c r="AE39" s="45">
        <f t="shared" si="7"/>
        <v>0</v>
      </c>
      <c r="AG39" s="39">
        <v>0</v>
      </c>
      <c r="AH39" s="45">
        <f t="shared" si="8"/>
        <v>0</v>
      </c>
    </row>
    <row r="40" spans="3:34" x14ac:dyDescent="0.25">
      <c r="C40" s="28" t="str">
        <f>'MP Calculations'!D67</f>
        <v>2023-24</v>
      </c>
      <c r="D40" s="45">
        <f>IF(LEFT($C40,4)*1&lt;LEFT('General inputs'!$I$16,4)+'General inputs'!$H$38,SUM(G40,J40,M40,P40,S40,V40,Y40,AB40,AE40,AH40),"")</f>
        <v>1825</v>
      </c>
      <c r="F40" s="39">
        <v>1825</v>
      </c>
      <c r="G40" s="45">
        <f t="shared" si="9"/>
        <v>1825</v>
      </c>
      <c r="I40" s="39">
        <v>0</v>
      </c>
      <c r="J40" s="45">
        <f t="shared" si="0"/>
        <v>0</v>
      </c>
      <c r="L40" s="39">
        <v>0</v>
      </c>
      <c r="M40" s="45">
        <f t="shared" si="1"/>
        <v>0</v>
      </c>
      <c r="O40" s="39">
        <v>0</v>
      </c>
      <c r="P40" s="45">
        <f t="shared" si="2"/>
        <v>0</v>
      </c>
      <c r="R40" s="39">
        <v>0</v>
      </c>
      <c r="S40" s="45">
        <f t="shared" si="3"/>
        <v>0</v>
      </c>
      <c r="U40" s="39">
        <v>0</v>
      </c>
      <c r="V40" s="45">
        <f t="shared" si="4"/>
        <v>0</v>
      </c>
      <c r="X40" s="39">
        <v>0</v>
      </c>
      <c r="Y40" s="45">
        <f t="shared" si="5"/>
        <v>0</v>
      </c>
      <c r="AA40" s="39">
        <v>0</v>
      </c>
      <c r="AB40" s="45">
        <f t="shared" si="6"/>
        <v>0</v>
      </c>
      <c r="AD40" s="39">
        <v>0</v>
      </c>
      <c r="AE40" s="45">
        <f t="shared" si="7"/>
        <v>0</v>
      </c>
      <c r="AG40" s="39">
        <v>0</v>
      </c>
      <c r="AH40" s="45">
        <f t="shared" si="8"/>
        <v>0</v>
      </c>
    </row>
    <row r="41" spans="3:34" x14ac:dyDescent="0.25">
      <c r="C41" s="28" t="str">
        <f>'MP Calculations'!D68</f>
        <v>2024-25</v>
      </c>
      <c r="D41" s="45">
        <f>IF(LEFT($C41,4)*1&lt;LEFT('General inputs'!$I$16,4)+'General inputs'!$H$38,SUM(G41,J41,M41,P41,S41,V41,Y41,AB41,AE41,AH41),"")</f>
        <v>1821</v>
      </c>
      <c r="F41" s="39">
        <v>1821</v>
      </c>
      <c r="G41" s="45">
        <f t="shared" si="9"/>
        <v>1821</v>
      </c>
      <c r="I41" s="39">
        <v>0</v>
      </c>
      <c r="J41" s="45">
        <f t="shared" si="0"/>
        <v>0</v>
      </c>
      <c r="L41" s="39">
        <v>0</v>
      </c>
      <c r="M41" s="45">
        <f t="shared" si="1"/>
        <v>0</v>
      </c>
      <c r="O41" s="39">
        <v>0</v>
      </c>
      <c r="P41" s="45">
        <f t="shared" si="2"/>
        <v>0</v>
      </c>
      <c r="R41" s="39">
        <v>0</v>
      </c>
      <c r="S41" s="45">
        <f t="shared" si="3"/>
        <v>0</v>
      </c>
      <c r="U41" s="39">
        <v>0</v>
      </c>
      <c r="V41" s="45">
        <f t="shared" si="4"/>
        <v>0</v>
      </c>
      <c r="X41" s="39">
        <v>0</v>
      </c>
      <c r="Y41" s="45">
        <f t="shared" si="5"/>
        <v>0</v>
      </c>
      <c r="AA41" s="39">
        <v>0</v>
      </c>
      <c r="AB41" s="45">
        <f t="shared" si="6"/>
        <v>0</v>
      </c>
      <c r="AD41" s="39">
        <v>0</v>
      </c>
      <c r="AE41" s="45">
        <f t="shared" si="7"/>
        <v>0</v>
      </c>
      <c r="AG41" s="39">
        <v>0</v>
      </c>
      <c r="AH41" s="45">
        <f t="shared" si="8"/>
        <v>0</v>
      </c>
    </row>
    <row r="42" spans="3:34" x14ac:dyDescent="0.25">
      <c r="C42" s="28" t="str">
        <f>'MP Calculations'!D69</f>
        <v>2025-26</v>
      </c>
      <c r="D42" s="45">
        <f>IF(LEFT($C42,4)*1&lt;LEFT('General inputs'!$I$16,4)+'General inputs'!$H$38,SUM(G42,J42,M42,P42,S42,V42,Y42,AB42,AE42,AH42),"")</f>
        <v>1829</v>
      </c>
      <c r="F42" s="39">
        <v>1829</v>
      </c>
      <c r="G42" s="45">
        <f t="shared" si="9"/>
        <v>1829</v>
      </c>
      <c r="I42" s="39">
        <v>0</v>
      </c>
      <c r="J42" s="45">
        <f t="shared" si="0"/>
        <v>0</v>
      </c>
      <c r="L42" s="39">
        <v>0</v>
      </c>
      <c r="M42" s="45">
        <f t="shared" si="1"/>
        <v>0</v>
      </c>
      <c r="O42" s="39">
        <v>0</v>
      </c>
      <c r="P42" s="45">
        <f t="shared" si="2"/>
        <v>0</v>
      </c>
      <c r="R42" s="39">
        <v>0</v>
      </c>
      <c r="S42" s="45">
        <f t="shared" si="3"/>
        <v>0</v>
      </c>
      <c r="U42" s="39">
        <v>0</v>
      </c>
      <c r="V42" s="45">
        <f t="shared" si="4"/>
        <v>0</v>
      </c>
      <c r="X42" s="39">
        <v>0</v>
      </c>
      <c r="Y42" s="45">
        <f t="shared" si="5"/>
        <v>0</v>
      </c>
      <c r="AA42" s="39">
        <v>0</v>
      </c>
      <c r="AB42" s="45">
        <f t="shared" si="6"/>
        <v>0</v>
      </c>
      <c r="AD42" s="39">
        <v>0</v>
      </c>
      <c r="AE42" s="45">
        <f t="shared" si="7"/>
        <v>0</v>
      </c>
      <c r="AG42" s="39">
        <v>0</v>
      </c>
      <c r="AH42" s="45">
        <f t="shared" si="8"/>
        <v>0</v>
      </c>
    </row>
    <row r="43" spans="3:34" x14ac:dyDescent="0.25">
      <c r="C43" s="28" t="str">
        <f>'MP Calculations'!D70</f>
        <v>2026-27</v>
      </c>
      <c r="D43" s="45">
        <f>IF(LEFT($C43,4)*1&lt;LEFT('General inputs'!$I$16,4)+'General inputs'!$H$38,SUM(G43,J43,M43,P43,S43,V43,Y43,AB43,AE43,AH43),"")</f>
        <v>1924</v>
      </c>
      <c r="F43" s="39">
        <v>1924</v>
      </c>
      <c r="G43" s="45">
        <f t="shared" si="9"/>
        <v>1924</v>
      </c>
      <c r="I43" s="39">
        <v>0</v>
      </c>
      <c r="J43" s="45">
        <f t="shared" si="0"/>
        <v>0</v>
      </c>
      <c r="L43" s="39">
        <v>0</v>
      </c>
      <c r="M43" s="45">
        <f t="shared" si="1"/>
        <v>0</v>
      </c>
      <c r="O43" s="39">
        <v>0</v>
      </c>
      <c r="P43" s="45">
        <f t="shared" si="2"/>
        <v>0</v>
      </c>
      <c r="R43" s="39">
        <v>0</v>
      </c>
      <c r="S43" s="45">
        <f t="shared" si="3"/>
        <v>0</v>
      </c>
      <c r="U43" s="39">
        <v>0</v>
      </c>
      <c r="V43" s="45">
        <f t="shared" si="4"/>
        <v>0</v>
      </c>
      <c r="X43" s="39">
        <v>0</v>
      </c>
      <c r="Y43" s="45">
        <f t="shared" si="5"/>
        <v>0</v>
      </c>
      <c r="AA43" s="39">
        <v>0</v>
      </c>
      <c r="AB43" s="45">
        <f t="shared" si="6"/>
        <v>0</v>
      </c>
      <c r="AD43" s="39">
        <v>0</v>
      </c>
      <c r="AE43" s="45">
        <f t="shared" si="7"/>
        <v>0</v>
      </c>
      <c r="AG43" s="39">
        <v>0</v>
      </c>
      <c r="AH43" s="45">
        <f t="shared" si="8"/>
        <v>0</v>
      </c>
    </row>
    <row r="44" spans="3:34" x14ac:dyDescent="0.25">
      <c r="C44" s="28" t="str">
        <f>'MP Calculations'!D71</f>
        <v>2027-28</v>
      </c>
      <c r="D44" s="45">
        <f>IF(LEFT($C44,4)*1&lt;LEFT('General inputs'!$I$16,4)+'General inputs'!$H$38,SUM(G44,J44,M44,P44,S44,V44,Y44,AB44,AE44,AH44),"")</f>
        <v>1910</v>
      </c>
      <c r="F44" s="39">
        <v>1910</v>
      </c>
      <c r="G44" s="45">
        <f t="shared" ref="G44:G75" si="11">F44*$G$9/$F$6</f>
        <v>1910</v>
      </c>
      <c r="I44" s="39">
        <v>0</v>
      </c>
      <c r="J44" s="45">
        <f t="shared" ref="J44:J75" si="12">I44*$J$9/$F$6</f>
        <v>0</v>
      </c>
      <c r="L44" s="39">
        <v>0</v>
      </c>
      <c r="M44" s="45">
        <f t="shared" ref="M44:M75" si="13">L44*$M$9/$F$6</f>
        <v>0</v>
      </c>
      <c r="O44" s="39">
        <v>0</v>
      </c>
      <c r="P44" s="45">
        <f t="shared" ref="P44:P75" si="14">O44*$P$9/$F$6</f>
        <v>0</v>
      </c>
      <c r="R44" s="39">
        <v>0</v>
      </c>
      <c r="S44" s="45">
        <f t="shared" si="3"/>
        <v>0</v>
      </c>
      <c r="U44" s="39">
        <v>0</v>
      </c>
      <c r="V44" s="45">
        <f t="shared" ref="V44:V75" si="15">U44*$V$9/$F$6</f>
        <v>0</v>
      </c>
      <c r="X44" s="39">
        <v>0</v>
      </c>
      <c r="Y44" s="45">
        <f t="shared" ref="Y44:Y75" si="16">X44*$Y$9/$F$6</f>
        <v>0</v>
      </c>
      <c r="AA44" s="39">
        <v>0</v>
      </c>
      <c r="AB44" s="45">
        <f t="shared" ref="AB44:AB75" si="17">AA44*$AB$9/$F$6</f>
        <v>0</v>
      </c>
      <c r="AD44" s="39">
        <v>0</v>
      </c>
      <c r="AE44" s="45">
        <f t="shared" ref="AE44:AE75" si="18">AD44*$AE$9/$F$6</f>
        <v>0</v>
      </c>
      <c r="AG44" s="39">
        <v>0</v>
      </c>
      <c r="AH44" s="45">
        <f t="shared" ref="AH44:AH75" si="19">AG44*$AH$9/$F$6</f>
        <v>0</v>
      </c>
    </row>
    <row r="45" spans="3:34" x14ac:dyDescent="0.25">
      <c r="C45" s="28" t="str">
        <f>'MP Calculations'!D72</f>
        <v>2028-29</v>
      </c>
      <c r="D45" s="45">
        <f>IF(LEFT($C45,4)*1&lt;LEFT('General inputs'!$I$16,4)+'General inputs'!$H$38,SUM(G45,J45,M45,P45,S45,V45,Y45,AB45,AE45,AH45),"")</f>
        <v>2062</v>
      </c>
      <c r="F45" s="39">
        <v>2062</v>
      </c>
      <c r="G45" s="45">
        <f t="shared" si="11"/>
        <v>2062</v>
      </c>
      <c r="I45" s="39">
        <v>0</v>
      </c>
      <c r="J45" s="45">
        <f t="shared" si="12"/>
        <v>0</v>
      </c>
      <c r="L45" s="39">
        <v>0</v>
      </c>
      <c r="M45" s="45">
        <f t="shared" si="13"/>
        <v>0</v>
      </c>
      <c r="O45" s="39">
        <v>0</v>
      </c>
      <c r="P45" s="45">
        <f t="shared" si="14"/>
        <v>0</v>
      </c>
      <c r="R45" s="39">
        <v>0</v>
      </c>
      <c r="S45" s="45">
        <f t="shared" si="3"/>
        <v>0</v>
      </c>
      <c r="U45" s="39">
        <v>0</v>
      </c>
      <c r="V45" s="45">
        <f t="shared" si="15"/>
        <v>0</v>
      </c>
      <c r="X45" s="39">
        <v>0</v>
      </c>
      <c r="Y45" s="45">
        <f t="shared" si="16"/>
        <v>0</v>
      </c>
      <c r="AA45" s="39">
        <v>0</v>
      </c>
      <c r="AB45" s="45">
        <f t="shared" si="17"/>
        <v>0</v>
      </c>
      <c r="AD45" s="39">
        <v>0</v>
      </c>
      <c r="AE45" s="45">
        <f t="shared" si="18"/>
        <v>0</v>
      </c>
      <c r="AG45" s="39">
        <v>0</v>
      </c>
      <c r="AH45" s="45">
        <f t="shared" si="19"/>
        <v>0</v>
      </c>
    </row>
    <row r="46" spans="3:34" x14ac:dyDescent="0.25">
      <c r="C46" s="28" t="str">
        <f>'MP Calculations'!D73</f>
        <v>2029-30</v>
      </c>
      <c r="D46" s="45">
        <f>IF(LEFT($C46,4)*1&lt;LEFT('General inputs'!$I$16,4)+'General inputs'!$H$38,SUM(G46,J46,M46,P46,S46,V46,Y46,AB46,AE46,AH46),"")</f>
        <v>2037</v>
      </c>
      <c r="F46" s="39">
        <v>2037</v>
      </c>
      <c r="G46" s="45">
        <f t="shared" si="11"/>
        <v>2037</v>
      </c>
      <c r="I46" s="39">
        <v>0</v>
      </c>
      <c r="J46" s="45">
        <f t="shared" si="12"/>
        <v>0</v>
      </c>
      <c r="L46" s="39">
        <v>0</v>
      </c>
      <c r="M46" s="45">
        <f t="shared" si="13"/>
        <v>0</v>
      </c>
      <c r="O46" s="39">
        <v>0</v>
      </c>
      <c r="P46" s="45">
        <f t="shared" si="14"/>
        <v>0</v>
      </c>
      <c r="R46" s="39">
        <v>0</v>
      </c>
      <c r="S46" s="45">
        <f t="shared" si="3"/>
        <v>0</v>
      </c>
      <c r="U46" s="39">
        <v>0</v>
      </c>
      <c r="V46" s="45">
        <f t="shared" si="15"/>
        <v>0</v>
      </c>
      <c r="X46" s="39">
        <v>0</v>
      </c>
      <c r="Y46" s="45">
        <f t="shared" si="16"/>
        <v>0</v>
      </c>
      <c r="AA46" s="39">
        <v>0</v>
      </c>
      <c r="AB46" s="45">
        <f t="shared" si="17"/>
        <v>0</v>
      </c>
      <c r="AD46" s="39">
        <v>0</v>
      </c>
      <c r="AE46" s="45">
        <f t="shared" si="18"/>
        <v>0</v>
      </c>
      <c r="AG46" s="39">
        <v>0</v>
      </c>
      <c r="AH46" s="45">
        <f t="shared" si="19"/>
        <v>0</v>
      </c>
    </row>
    <row r="47" spans="3:34" x14ac:dyDescent="0.25">
      <c r="C47" s="28" t="str">
        <f>'MP Calculations'!D74</f>
        <v>2030-31</v>
      </c>
      <c r="D47" s="45">
        <f>IF(LEFT($C47,4)*1&lt;LEFT('General inputs'!$I$16,4)+'General inputs'!$H$38,SUM(G47,J47,M47,P47,S47,V47,Y47,AB47,AE47,AH47),"")</f>
        <v>1939</v>
      </c>
      <c r="F47" s="39">
        <v>1939</v>
      </c>
      <c r="G47" s="45">
        <f t="shared" si="11"/>
        <v>1939</v>
      </c>
      <c r="I47" s="39">
        <v>0</v>
      </c>
      <c r="J47" s="45">
        <f t="shared" si="12"/>
        <v>0</v>
      </c>
      <c r="L47" s="39">
        <v>0</v>
      </c>
      <c r="M47" s="45">
        <f t="shared" si="13"/>
        <v>0</v>
      </c>
      <c r="O47" s="39">
        <v>0</v>
      </c>
      <c r="P47" s="45">
        <f t="shared" si="14"/>
        <v>0</v>
      </c>
      <c r="R47" s="39">
        <v>0</v>
      </c>
      <c r="S47" s="45">
        <f t="shared" si="3"/>
        <v>0</v>
      </c>
      <c r="U47" s="39">
        <v>0</v>
      </c>
      <c r="V47" s="45">
        <f t="shared" si="15"/>
        <v>0</v>
      </c>
      <c r="X47" s="39">
        <v>0</v>
      </c>
      <c r="Y47" s="45">
        <f t="shared" si="16"/>
        <v>0</v>
      </c>
      <c r="AA47" s="39">
        <v>0</v>
      </c>
      <c r="AB47" s="45">
        <f t="shared" si="17"/>
        <v>0</v>
      </c>
      <c r="AD47" s="39">
        <v>0</v>
      </c>
      <c r="AE47" s="45">
        <f t="shared" si="18"/>
        <v>0</v>
      </c>
      <c r="AG47" s="39">
        <v>0</v>
      </c>
      <c r="AH47" s="45">
        <f t="shared" si="19"/>
        <v>0</v>
      </c>
    </row>
    <row r="48" spans="3:34" x14ac:dyDescent="0.25">
      <c r="C48" s="28" t="str">
        <f>'MP Calculations'!D75</f>
        <v>2031-32</v>
      </c>
      <c r="D48" s="45">
        <f>IF(LEFT($C48,4)*1&lt;LEFT('General inputs'!$I$16,4)+'General inputs'!$H$38,SUM(G48,J48,M48,P48,S48,V48,Y48,AB48,AE48,AH48),"")</f>
        <v>1926</v>
      </c>
      <c r="F48" s="39">
        <v>1926</v>
      </c>
      <c r="G48" s="45">
        <f t="shared" si="11"/>
        <v>1926</v>
      </c>
      <c r="I48" s="39">
        <v>0</v>
      </c>
      <c r="J48" s="45">
        <f t="shared" si="12"/>
        <v>0</v>
      </c>
      <c r="L48" s="39">
        <v>0</v>
      </c>
      <c r="M48" s="45">
        <f t="shared" si="13"/>
        <v>0</v>
      </c>
      <c r="O48" s="39">
        <v>0</v>
      </c>
      <c r="P48" s="45">
        <f t="shared" si="14"/>
        <v>0</v>
      </c>
      <c r="R48" s="39">
        <v>0</v>
      </c>
      <c r="S48" s="45">
        <f t="shared" si="3"/>
        <v>0</v>
      </c>
      <c r="U48" s="39">
        <v>0</v>
      </c>
      <c r="V48" s="45">
        <f t="shared" si="15"/>
        <v>0</v>
      </c>
      <c r="X48" s="39">
        <v>0</v>
      </c>
      <c r="Y48" s="45">
        <f t="shared" si="16"/>
        <v>0</v>
      </c>
      <c r="AA48" s="39">
        <v>0</v>
      </c>
      <c r="AB48" s="45">
        <f t="shared" si="17"/>
        <v>0</v>
      </c>
      <c r="AD48" s="39">
        <v>0</v>
      </c>
      <c r="AE48" s="45">
        <f t="shared" si="18"/>
        <v>0</v>
      </c>
      <c r="AG48" s="39">
        <v>0</v>
      </c>
      <c r="AH48" s="45">
        <f t="shared" si="19"/>
        <v>0</v>
      </c>
    </row>
    <row r="49" spans="3:34" x14ac:dyDescent="0.25">
      <c r="C49" s="28" t="str">
        <f>'MP Calculations'!D76</f>
        <v>2032-33</v>
      </c>
      <c r="D49" s="45">
        <f>IF(LEFT($C49,4)*1&lt;LEFT('General inputs'!$I$16,4)+'General inputs'!$H$38,SUM(G49,J49,M49,P49,S49,V49,Y49,AB49,AE49,AH49),"")</f>
        <v>1915</v>
      </c>
      <c r="F49" s="39">
        <v>1915</v>
      </c>
      <c r="G49" s="45">
        <f t="shared" si="11"/>
        <v>1915</v>
      </c>
      <c r="I49" s="39">
        <v>0</v>
      </c>
      <c r="J49" s="45">
        <f t="shared" si="12"/>
        <v>0</v>
      </c>
      <c r="L49" s="39">
        <v>0</v>
      </c>
      <c r="M49" s="45">
        <f t="shared" si="13"/>
        <v>0</v>
      </c>
      <c r="O49" s="39">
        <v>0</v>
      </c>
      <c r="P49" s="45">
        <f t="shared" si="14"/>
        <v>0</v>
      </c>
      <c r="R49" s="39">
        <v>0</v>
      </c>
      <c r="S49" s="45">
        <f t="shared" si="3"/>
        <v>0</v>
      </c>
      <c r="U49" s="39">
        <v>0</v>
      </c>
      <c r="V49" s="45">
        <f t="shared" si="15"/>
        <v>0</v>
      </c>
      <c r="X49" s="39">
        <v>0</v>
      </c>
      <c r="Y49" s="45">
        <f t="shared" si="16"/>
        <v>0</v>
      </c>
      <c r="AA49" s="39">
        <v>0</v>
      </c>
      <c r="AB49" s="45">
        <f t="shared" si="17"/>
        <v>0</v>
      </c>
      <c r="AD49" s="39">
        <v>0</v>
      </c>
      <c r="AE49" s="45">
        <f t="shared" si="18"/>
        <v>0</v>
      </c>
      <c r="AG49" s="39">
        <v>0</v>
      </c>
      <c r="AH49" s="45">
        <f t="shared" si="19"/>
        <v>0</v>
      </c>
    </row>
    <row r="50" spans="3:34" x14ac:dyDescent="0.25">
      <c r="C50" s="28" t="str">
        <f>'MP Calculations'!D77</f>
        <v>2033-34</v>
      </c>
      <c r="D50" s="45">
        <f>IF(LEFT($C50,4)*1&lt;LEFT('General inputs'!$I$16,4)+'General inputs'!$H$38,SUM(G50,J50,M50,P50,S50,V50,Y50,AB50,AE50,AH50),"")</f>
        <v>1894</v>
      </c>
      <c r="F50" s="39">
        <v>1894</v>
      </c>
      <c r="G50" s="45">
        <f t="shared" si="11"/>
        <v>1894</v>
      </c>
      <c r="I50" s="39">
        <v>0</v>
      </c>
      <c r="J50" s="45">
        <f t="shared" si="12"/>
        <v>0</v>
      </c>
      <c r="L50" s="39">
        <v>0</v>
      </c>
      <c r="M50" s="45">
        <f t="shared" si="13"/>
        <v>0</v>
      </c>
      <c r="O50" s="39">
        <v>0</v>
      </c>
      <c r="P50" s="45">
        <f t="shared" si="14"/>
        <v>0</v>
      </c>
      <c r="R50" s="39">
        <v>0</v>
      </c>
      <c r="S50" s="45">
        <f t="shared" si="3"/>
        <v>0</v>
      </c>
      <c r="U50" s="39">
        <v>0</v>
      </c>
      <c r="V50" s="45">
        <f t="shared" si="15"/>
        <v>0</v>
      </c>
      <c r="X50" s="39">
        <v>0</v>
      </c>
      <c r="Y50" s="45">
        <f t="shared" si="16"/>
        <v>0</v>
      </c>
      <c r="AA50" s="39">
        <v>0</v>
      </c>
      <c r="AB50" s="45">
        <f t="shared" si="17"/>
        <v>0</v>
      </c>
      <c r="AD50" s="39">
        <v>0</v>
      </c>
      <c r="AE50" s="45">
        <f t="shared" si="18"/>
        <v>0</v>
      </c>
      <c r="AG50" s="39">
        <v>0</v>
      </c>
      <c r="AH50" s="45">
        <f t="shared" si="19"/>
        <v>0</v>
      </c>
    </row>
    <row r="51" spans="3:34" x14ac:dyDescent="0.25">
      <c r="C51" s="28" t="str">
        <f>'MP Calculations'!D78</f>
        <v>2034-35</v>
      </c>
      <c r="D51" s="45">
        <f>IF(LEFT($C51,4)*1&lt;LEFT('General inputs'!$I$16,4)+'General inputs'!$H$38,SUM(G51,J51,M51,P51,S51,V51,Y51,AB51,AE51,AH51),"")</f>
        <v>1884</v>
      </c>
      <c r="F51" s="39">
        <v>1884</v>
      </c>
      <c r="G51" s="45">
        <f t="shared" si="11"/>
        <v>1884</v>
      </c>
      <c r="I51" s="39">
        <v>0</v>
      </c>
      <c r="J51" s="45">
        <f t="shared" si="12"/>
        <v>0</v>
      </c>
      <c r="L51" s="39">
        <v>0</v>
      </c>
      <c r="M51" s="45">
        <f t="shared" si="13"/>
        <v>0</v>
      </c>
      <c r="O51" s="39">
        <v>0</v>
      </c>
      <c r="P51" s="45">
        <f t="shared" si="14"/>
        <v>0</v>
      </c>
      <c r="R51" s="39">
        <v>0</v>
      </c>
      <c r="S51" s="45">
        <f t="shared" si="3"/>
        <v>0</v>
      </c>
      <c r="U51" s="39">
        <v>0</v>
      </c>
      <c r="V51" s="45">
        <f t="shared" si="15"/>
        <v>0</v>
      </c>
      <c r="X51" s="39">
        <v>0</v>
      </c>
      <c r="Y51" s="45">
        <f t="shared" si="16"/>
        <v>0</v>
      </c>
      <c r="AA51" s="39">
        <v>0</v>
      </c>
      <c r="AB51" s="45">
        <f t="shared" si="17"/>
        <v>0</v>
      </c>
      <c r="AD51" s="39">
        <v>0</v>
      </c>
      <c r="AE51" s="45">
        <f t="shared" si="18"/>
        <v>0</v>
      </c>
      <c r="AG51" s="39">
        <v>0</v>
      </c>
      <c r="AH51" s="45">
        <f t="shared" si="19"/>
        <v>0</v>
      </c>
    </row>
    <row r="52" spans="3:34" x14ac:dyDescent="0.25">
      <c r="C52" s="28" t="str">
        <f>'MP Calculations'!D79</f>
        <v>2035-36</v>
      </c>
      <c r="D52" s="45">
        <f>IF(LEFT($C52,4)*1&lt;LEFT('General inputs'!$I$16,4)+'General inputs'!$H$38,SUM(G52,J52,M52,P52,S52,V52,Y52,AB52,AE52,AH52),"")</f>
        <v>1839</v>
      </c>
      <c r="F52" s="39">
        <v>1839</v>
      </c>
      <c r="G52" s="45">
        <f t="shared" si="11"/>
        <v>1839</v>
      </c>
      <c r="I52" s="39">
        <v>0</v>
      </c>
      <c r="J52" s="45">
        <f t="shared" si="12"/>
        <v>0</v>
      </c>
      <c r="L52" s="39">
        <v>0</v>
      </c>
      <c r="M52" s="45">
        <f t="shared" si="13"/>
        <v>0</v>
      </c>
      <c r="O52" s="39">
        <v>0</v>
      </c>
      <c r="P52" s="45">
        <f t="shared" si="14"/>
        <v>0</v>
      </c>
      <c r="R52" s="39">
        <v>0</v>
      </c>
      <c r="S52" s="45">
        <f t="shared" si="3"/>
        <v>0</v>
      </c>
      <c r="U52" s="39">
        <v>0</v>
      </c>
      <c r="V52" s="45">
        <f t="shared" si="15"/>
        <v>0</v>
      </c>
      <c r="X52" s="39">
        <v>0</v>
      </c>
      <c r="Y52" s="45">
        <f t="shared" si="16"/>
        <v>0</v>
      </c>
      <c r="AA52" s="39">
        <v>0</v>
      </c>
      <c r="AB52" s="45">
        <f t="shared" si="17"/>
        <v>0</v>
      </c>
      <c r="AD52" s="39">
        <v>0</v>
      </c>
      <c r="AE52" s="45">
        <f t="shared" si="18"/>
        <v>0</v>
      </c>
      <c r="AG52" s="39">
        <v>0</v>
      </c>
      <c r="AH52" s="45">
        <f t="shared" si="19"/>
        <v>0</v>
      </c>
    </row>
    <row r="53" spans="3:34" x14ac:dyDescent="0.25">
      <c r="C53" s="28" t="str">
        <f>'MP Calculations'!D80</f>
        <v>2036-37</v>
      </c>
      <c r="D53" s="45">
        <f>IF(LEFT($C53,4)*1&lt;LEFT('General inputs'!$I$16,4)+'General inputs'!$H$38,SUM(G53,J53,M53,P53,S53,V53,Y53,AB53,AE53,AH53),"")</f>
        <v>1712</v>
      </c>
      <c r="F53" s="39">
        <v>1712</v>
      </c>
      <c r="G53" s="45">
        <f t="shared" si="11"/>
        <v>1712</v>
      </c>
      <c r="I53" s="39">
        <v>0</v>
      </c>
      <c r="J53" s="45">
        <f t="shared" si="12"/>
        <v>0</v>
      </c>
      <c r="L53" s="39">
        <v>0</v>
      </c>
      <c r="M53" s="45">
        <f t="shared" si="13"/>
        <v>0</v>
      </c>
      <c r="O53" s="39">
        <v>0</v>
      </c>
      <c r="P53" s="45">
        <f t="shared" si="14"/>
        <v>0</v>
      </c>
      <c r="R53" s="39">
        <v>0</v>
      </c>
      <c r="S53" s="45">
        <f t="shared" ref="S53:S75" si="20">R53*$S$9/$F$6</f>
        <v>0</v>
      </c>
      <c r="U53" s="39">
        <v>0</v>
      </c>
      <c r="V53" s="45">
        <f t="shared" si="15"/>
        <v>0</v>
      </c>
      <c r="X53" s="39">
        <v>0</v>
      </c>
      <c r="Y53" s="45">
        <f t="shared" si="16"/>
        <v>0</v>
      </c>
      <c r="AA53" s="39">
        <v>0</v>
      </c>
      <c r="AB53" s="45">
        <f t="shared" si="17"/>
        <v>0</v>
      </c>
      <c r="AD53" s="39">
        <v>0</v>
      </c>
      <c r="AE53" s="45">
        <f t="shared" si="18"/>
        <v>0</v>
      </c>
      <c r="AG53" s="39">
        <v>0</v>
      </c>
      <c r="AH53" s="45">
        <f t="shared" si="19"/>
        <v>0</v>
      </c>
    </row>
    <row r="54" spans="3:34" x14ac:dyDescent="0.25">
      <c r="C54" s="28" t="str">
        <f>'MP Calculations'!D81</f>
        <v>2037-38</v>
      </c>
      <c r="D54" s="45">
        <f>IF(LEFT($C54,4)*1&lt;LEFT('General inputs'!$I$16,4)+'General inputs'!$H$38,SUM(G54,J54,M54,P54,S54,V54,Y54,AB54,AE54,AH54),"")</f>
        <v>1737</v>
      </c>
      <c r="F54" s="39">
        <v>1737</v>
      </c>
      <c r="G54" s="45">
        <f t="shared" si="11"/>
        <v>1737</v>
      </c>
      <c r="I54" s="39">
        <v>0</v>
      </c>
      <c r="J54" s="45">
        <f t="shared" si="12"/>
        <v>0</v>
      </c>
      <c r="L54" s="39">
        <v>0</v>
      </c>
      <c r="M54" s="45">
        <f t="shared" si="13"/>
        <v>0</v>
      </c>
      <c r="O54" s="39">
        <v>0</v>
      </c>
      <c r="P54" s="45">
        <f t="shared" si="14"/>
        <v>0</v>
      </c>
      <c r="R54" s="39">
        <v>0</v>
      </c>
      <c r="S54" s="45">
        <f t="shared" si="20"/>
        <v>0</v>
      </c>
      <c r="U54" s="39">
        <v>0</v>
      </c>
      <c r="V54" s="45">
        <f t="shared" si="15"/>
        <v>0</v>
      </c>
      <c r="X54" s="39">
        <v>0</v>
      </c>
      <c r="Y54" s="45">
        <f t="shared" si="16"/>
        <v>0</v>
      </c>
      <c r="AA54" s="39">
        <v>0</v>
      </c>
      <c r="AB54" s="45">
        <f t="shared" si="17"/>
        <v>0</v>
      </c>
      <c r="AD54" s="39">
        <v>0</v>
      </c>
      <c r="AE54" s="45">
        <f t="shared" si="18"/>
        <v>0</v>
      </c>
      <c r="AG54" s="39">
        <v>0</v>
      </c>
      <c r="AH54" s="45">
        <f t="shared" si="19"/>
        <v>0</v>
      </c>
    </row>
    <row r="55" spans="3:34" x14ac:dyDescent="0.25">
      <c r="C55" s="28" t="str">
        <f>'MP Calculations'!D82</f>
        <v>2038-39</v>
      </c>
      <c r="D55" s="45">
        <f>IF(LEFT($C55,4)*1&lt;LEFT('General inputs'!$I$16,4)+'General inputs'!$H$38,SUM(G55,J55,M55,P55,S55,V55,Y55,AB55,AE55,AH55),"")</f>
        <v>1761</v>
      </c>
      <c r="F55" s="39">
        <v>1761</v>
      </c>
      <c r="G55" s="45">
        <f t="shared" si="11"/>
        <v>1761</v>
      </c>
      <c r="I55" s="39">
        <v>0</v>
      </c>
      <c r="J55" s="45">
        <f t="shared" si="12"/>
        <v>0</v>
      </c>
      <c r="L55" s="39">
        <v>0</v>
      </c>
      <c r="M55" s="45">
        <f t="shared" si="13"/>
        <v>0</v>
      </c>
      <c r="O55" s="39">
        <v>0</v>
      </c>
      <c r="P55" s="45">
        <f t="shared" si="14"/>
        <v>0</v>
      </c>
      <c r="R55" s="39">
        <v>0</v>
      </c>
      <c r="S55" s="45">
        <f t="shared" si="20"/>
        <v>0</v>
      </c>
      <c r="U55" s="39">
        <v>0</v>
      </c>
      <c r="V55" s="45">
        <f t="shared" si="15"/>
        <v>0</v>
      </c>
      <c r="X55" s="39">
        <v>0</v>
      </c>
      <c r="Y55" s="45">
        <f t="shared" si="16"/>
        <v>0</v>
      </c>
      <c r="AA55" s="39">
        <v>0</v>
      </c>
      <c r="AB55" s="45">
        <f t="shared" si="17"/>
        <v>0</v>
      </c>
      <c r="AD55" s="39">
        <v>0</v>
      </c>
      <c r="AE55" s="45">
        <f t="shared" si="18"/>
        <v>0</v>
      </c>
      <c r="AG55" s="39">
        <v>0</v>
      </c>
      <c r="AH55" s="45">
        <f t="shared" si="19"/>
        <v>0</v>
      </c>
    </row>
    <row r="56" spans="3:34" x14ac:dyDescent="0.25">
      <c r="C56" s="28" t="str">
        <f>'MP Calculations'!D83</f>
        <v>2039-40</v>
      </c>
      <c r="D56" s="45">
        <f>IF(LEFT($C56,4)*1&lt;LEFT('General inputs'!$I$16,4)+'General inputs'!$H$38,SUM(G56,J56,M56,P56,S56,V56,Y56,AB56,AE56,AH56),"")</f>
        <v>1785</v>
      </c>
      <c r="F56" s="39">
        <v>1785</v>
      </c>
      <c r="G56" s="45">
        <f t="shared" si="11"/>
        <v>1785</v>
      </c>
      <c r="I56" s="39">
        <v>0</v>
      </c>
      <c r="J56" s="45">
        <f t="shared" si="12"/>
        <v>0</v>
      </c>
      <c r="L56" s="39">
        <v>0</v>
      </c>
      <c r="M56" s="45">
        <f t="shared" si="13"/>
        <v>0</v>
      </c>
      <c r="O56" s="39">
        <v>0</v>
      </c>
      <c r="P56" s="45">
        <f t="shared" si="14"/>
        <v>0</v>
      </c>
      <c r="R56" s="39">
        <v>0</v>
      </c>
      <c r="S56" s="45">
        <f t="shared" si="20"/>
        <v>0</v>
      </c>
      <c r="U56" s="39">
        <v>0</v>
      </c>
      <c r="V56" s="45">
        <f t="shared" si="15"/>
        <v>0</v>
      </c>
      <c r="X56" s="39">
        <v>0</v>
      </c>
      <c r="Y56" s="45">
        <f t="shared" si="16"/>
        <v>0</v>
      </c>
      <c r="AA56" s="39">
        <v>0</v>
      </c>
      <c r="AB56" s="45">
        <f t="shared" si="17"/>
        <v>0</v>
      </c>
      <c r="AD56" s="39">
        <v>0</v>
      </c>
      <c r="AE56" s="45">
        <f t="shared" si="18"/>
        <v>0</v>
      </c>
      <c r="AG56" s="39">
        <v>0</v>
      </c>
      <c r="AH56" s="45">
        <f t="shared" si="19"/>
        <v>0</v>
      </c>
    </row>
    <row r="57" spans="3:34" x14ac:dyDescent="0.25">
      <c r="C57" s="28" t="str">
        <f>'MP Calculations'!D84</f>
        <v>2040-41</v>
      </c>
      <c r="D57" s="45">
        <f>IF(LEFT($C57,4)*1&lt;LEFT('General inputs'!$I$16,4)+'General inputs'!$H$38,SUM(G57,J57,M57,P57,S57,V57,Y57,AB57,AE57,AH57),"")</f>
        <v>1810</v>
      </c>
      <c r="F57" s="39">
        <v>1810</v>
      </c>
      <c r="G57" s="45">
        <f t="shared" si="11"/>
        <v>1810</v>
      </c>
      <c r="I57" s="39">
        <v>0</v>
      </c>
      <c r="J57" s="45">
        <f t="shared" si="12"/>
        <v>0</v>
      </c>
      <c r="L57" s="39">
        <v>0</v>
      </c>
      <c r="M57" s="45">
        <f t="shared" si="13"/>
        <v>0</v>
      </c>
      <c r="O57" s="39">
        <v>0</v>
      </c>
      <c r="P57" s="45">
        <f t="shared" si="14"/>
        <v>0</v>
      </c>
      <c r="R57" s="39">
        <v>0</v>
      </c>
      <c r="S57" s="45">
        <f t="shared" si="20"/>
        <v>0</v>
      </c>
      <c r="U57" s="39">
        <v>0</v>
      </c>
      <c r="V57" s="45">
        <f t="shared" si="15"/>
        <v>0</v>
      </c>
      <c r="X57" s="39">
        <v>0</v>
      </c>
      <c r="Y57" s="45">
        <f t="shared" si="16"/>
        <v>0</v>
      </c>
      <c r="AA57" s="39">
        <v>0</v>
      </c>
      <c r="AB57" s="45">
        <f t="shared" si="17"/>
        <v>0</v>
      </c>
      <c r="AD57" s="39">
        <v>0</v>
      </c>
      <c r="AE57" s="45">
        <f t="shared" si="18"/>
        <v>0</v>
      </c>
      <c r="AG57" s="39">
        <v>0</v>
      </c>
      <c r="AH57" s="45">
        <f t="shared" si="19"/>
        <v>0</v>
      </c>
    </row>
    <row r="58" spans="3:34" x14ac:dyDescent="0.25">
      <c r="C58" s="28" t="str">
        <f>'MP Calculations'!D85</f>
        <v>2041-42</v>
      </c>
      <c r="D58" s="45">
        <f>IF(LEFT($C58,4)*1&lt;LEFT('General inputs'!$I$16,4)+'General inputs'!$H$38,SUM(G58,J58,M58,P58,S58,V58,Y58,AB58,AE58,AH58),"")</f>
        <v>1835</v>
      </c>
      <c r="F58" s="39">
        <v>1835</v>
      </c>
      <c r="G58" s="45">
        <f t="shared" si="11"/>
        <v>1835</v>
      </c>
      <c r="I58" s="39">
        <v>0</v>
      </c>
      <c r="J58" s="45">
        <f t="shared" si="12"/>
        <v>0</v>
      </c>
      <c r="L58" s="39">
        <v>0</v>
      </c>
      <c r="M58" s="45">
        <f t="shared" si="13"/>
        <v>0</v>
      </c>
      <c r="O58" s="39">
        <v>0</v>
      </c>
      <c r="P58" s="45">
        <f t="shared" si="14"/>
        <v>0</v>
      </c>
      <c r="R58" s="39">
        <v>0</v>
      </c>
      <c r="S58" s="45">
        <f t="shared" si="20"/>
        <v>0</v>
      </c>
      <c r="U58" s="39">
        <v>0</v>
      </c>
      <c r="V58" s="45">
        <f t="shared" si="15"/>
        <v>0</v>
      </c>
      <c r="X58" s="39">
        <v>0</v>
      </c>
      <c r="Y58" s="45">
        <f t="shared" si="16"/>
        <v>0</v>
      </c>
      <c r="AA58" s="39">
        <v>0</v>
      </c>
      <c r="AB58" s="45">
        <f t="shared" si="17"/>
        <v>0</v>
      </c>
      <c r="AD58" s="39">
        <v>0</v>
      </c>
      <c r="AE58" s="45">
        <f t="shared" si="18"/>
        <v>0</v>
      </c>
      <c r="AG58" s="39">
        <v>0</v>
      </c>
      <c r="AH58" s="45">
        <f t="shared" si="19"/>
        <v>0</v>
      </c>
    </row>
    <row r="59" spans="3:34" x14ac:dyDescent="0.25">
      <c r="C59" s="28" t="str">
        <f>'MP Calculations'!D86</f>
        <v>2042-43</v>
      </c>
      <c r="D59" s="45">
        <f>IF(LEFT($C59,4)*1&lt;LEFT('General inputs'!$I$16,4)+'General inputs'!$H$38,SUM(G59,J59,M59,P59,S59,V59,Y59,AB59,AE59,AH59),"")</f>
        <v>1861</v>
      </c>
      <c r="F59" s="39">
        <v>1861</v>
      </c>
      <c r="G59" s="45">
        <f t="shared" si="11"/>
        <v>1861</v>
      </c>
      <c r="I59" s="39">
        <v>0</v>
      </c>
      <c r="J59" s="45">
        <f t="shared" si="12"/>
        <v>0</v>
      </c>
      <c r="L59" s="39">
        <v>0</v>
      </c>
      <c r="M59" s="45">
        <f t="shared" si="13"/>
        <v>0</v>
      </c>
      <c r="O59" s="39">
        <v>0</v>
      </c>
      <c r="P59" s="45">
        <f t="shared" si="14"/>
        <v>0</v>
      </c>
      <c r="R59" s="39">
        <v>0</v>
      </c>
      <c r="S59" s="45">
        <f t="shared" si="20"/>
        <v>0</v>
      </c>
      <c r="U59" s="39">
        <v>0</v>
      </c>
      <c r="V59" s="45">
        <f t="shared" si="15"/>
        <v>0</v>
      </c>
      <c r="X59" s="39">
        <v>0</v>
      </c>
      <c r="Y59" s="45">
        <f t="shared" si="16"/>
        <v>0</v>
      </c>
      <c r="AA59" s="39">
        <v>0</v>
      </c>
      <c r="AB59" s="45">
        <f t="shared" si="17"/>
        <v>0</v>
      </c>
      <c r="AD59" s="39">
        <v>0</v>
      </c>
      <c r="AE59" s="45">
        <f t="shared" si="18"/>
        <v>0</v>
      </c>
      <c r="AG59" s="39">
        <v>0</v>
      </c>
      <c r="AH59" s="45">
        <f t="shared" si="19"/>
        <v>0</v>
      </c>
    </row>
    <row r="60" spans="3:34" x14ac:dyDescent="0.25">
      <c r="C60" s="28" t="str">
        <f>'MP Calculations'!D87</f>
        <v>2043-44</v>
      </c>
      <c r="D60" s="45">
        <f>IF(LEFT($C60,4)*1&lt;LEFT('General inputs'!$I$16,4)+'General inputs'!$H$38,SUM(G60,J60,M60,P60,S60,V60,Y60,AB60,AE60,AH60),"")</f>
        <v>1886</v>
      </c>
      <c r="F60" s="39">
        <v>1886</v>
      </c>
      <c r="G60" s="45">
        <f t="shared" si="11"/>
        <v>1886</v>
      </c>
      <c r="I60" s="39">
        <v>0</v>
      </c>
      <c r="J60" s="45">
        <f t="shared" si="12"/>
        <v>0</v>
      </c>
      <c r="L60" s="39">
        <v>0</v>
      </c>
      <c r="M60" s="45">
        <f t="shared" si="13"/>
        <v>0</v>
      </c>
      <c r="O60" s="39">
        <v>0</v>
      </c>
      <c r="P60" s="45">
        <f t="shared" si="14"/>
        <v>0</v>
      </c>
      <c r="R60" s="39">
        <v>0</v>
      </c>
      <c r="S60" s="45">
        <f t="shared" si="20"/>
        <v>0</v>
      </c>
      <c r="U60" s="39">
        <v>0</v>
      </c>
      <c r="V60" s="45">
        <f t="shared" si="15"/>
        <v>0</v>
      </c>
      <c r="X60" s="39">
        <v>0</v>
      </c>
      <c r="Y60" s="45">
        <f t="shared" si="16"/>
        <v>0</v>
      </c>
      <c r="AA60" s="39">
        <v>0</v>
      </c>
      <c r="AB60" s="45">
        <f t="shared" si="17"/>
        <v>0</v>
      </c>
      <c r="AD60" s="39">
        <v>0</v>
      </c>
      <c r="AE60" s="45">
        <f t="shared" si="18"/>
        <v>0</v>
      </c>
      <c r="AG60" s="39">
        <v>0</v>
      </c>
      <c r="AH60" s="45">
        <f t="shared" si="19"/>
        <v>0</v>
      </c>
    </row>
    <row r="61" spans="3:34" x14ac:dyDescent="0.25">
      <c r="C61" s="28" t="str">
        <f>'MP Calculations'!D88</f>
        <v>2044-45</v>
      </c>
      <c r="D61" s="45">
        <f>IF(LEFT($C61,4)*1&lt;LEFT('General inputs'!$I$16,4)+'General inputs'!$H$38,SUM(G61,J61,M61,P61,S61,V61,Y61,AB61,AE61,AH61),"")</f>
        <v>1913</v>
      </c>
      <c r="F61" s="39">
        <v>1913</v>
      </c>
      <c r="G61" s="45">
        <f t="shared" si="11"/>
        <v>1913</v>
      </c>
      <c r="I61" s="39">
        <v>0</v>
      </c>
      <c r="J61" s="45">
        <f t="shared" si="12"/>
        <v>0</v>
      </c>
      <c r="L61" s="39">
        <v>0</v>
      </c>
      <c r="M61" s="45">
        <f t="shared" si="13"/>
        <v>0</v>
      </c>
      <c r="O61" s="39">
        <v>0</v>
      </c>
      <c r="P61" s="45">
        <f t="shared" si="14"/>
        <v>0</v>
      </c>
      <c r="R61" s="39">
        <v>0</v>
      </c>
      <c r="S61" s="45">
        <f t="shared" si="20"/>
        <v>0</v>
      </c>
      <c r="U61" s="39">
        <v>0</v>
      </c>
      <c r="V61" s="45">
        <f t="shared" si="15"/>
        <v>0</v>
      </c>
      <c r="X61" s="39">
        <v>0</v>
      </c>
      <c r="Y61" s="45">
        <f t="shared" si="16"/>
        <v>0</v>
      </c>
      <c r="AA61" s="39">
        <v>0</v>
      </c>
      <c r="AB61" s="45">
        <f t="shared" si="17"/>
        <v>0</v>
      </c>
      <c r="AD61" s="39">
        <v>0</v>
      </c>
      <c r="AE61" s="45">
        <f t="shared" si="18"/>
        <v>0</v>
      </c>
      <c r="AG61" s="39">
        <v>0</v>
      </c>
      <c r="AH61" s="45">
        <f t="shared" si="19"/>
        <v>0</v>
      </c>
    </row>
    <row r="62" spans="3:34" x14ac:dyDescent="0.25">
      <c r="C62" s="28" t="str">
        <f>'MP Calculations'!D89</f>
        <v>2045-46</v>
      </c>
      <c r="D62" s="45">
        <f>IF(LEFT($C62,4)*1&lt;LEFT('General inputs'!$I$16,4)+'General inputs'!$H$38,SUM(G62,J62,M62,P62,S62,V62,Y62,AB62,AE62,AH62),"")</f>
        <v>1939</v>
      </c>
      <c r="F62" s="39">
        <v>1939</v>
      </c>
      <c r="G62" s="45">
        <f t="shared" si="11"/>
        <v>1939</v>
      </c>
      <c r="I62" s="39">
        <v>0</v>
      </c>
      <c r="J62" s="45">
        <f t="shared" si="12"/>
        <v>0</v>
      </c>
      <c r="L62" s="39">
        <v>0</v>
      </c>
      <c r="M62" s="45">
        <f t="shared" si="13"/>
        <v>0</v>
      </c>
      <c r="O62" s="39">
        <v>0</v>
      </c>
      <c r="P62" s="45">
        <f t="shared" si="14"/>
        <v>0</v>
      </c>
      <c r="R62" s="39">
        <v>0</v>
      </c>
      <c r="S62" s="45">
        <f t="shared" si="20"/>
        <v>0</v>
      </c>
      <c r="U62" s="39">
        <v>0</v>
      </c>
      <c r="V62" s="45">
        <f t="shared" si="15"/>
        <v>0</v>
      </c>
      <c r="X62" s="39">
        <v>0</v>
      </c>
      <c r="Y62" s="45">
        <f t="shared" si="16"/>
        <v>0</v>
      </c>
      <c r="AA62" s="39">
        <v>0</v>
      </c>
      <c r="AB62" s="45">
        <f t="shared" si="17"/>
        <v>0</v>
      </c>
      <c r="AD62" s="39">
        <v>0</v>
      </c>
      <c r="AE62" s="45">
        <f t="shared" si="18"/>
        <v>0</v>
      </c>
      <c r="AG62" s="39">
        <v>0</v>
      </c>
      <c r="AH62" s="45">
        <f t="shared" si="19"/>
        <v>0</v>
      </c>
    </row>
    <row r="63" spans="3:34" x14ac:dyDescent="0.25">
      <c r="C63" s="28" t="str">
        <f>'MP Calculations'!D90</f>
        <v>2046-47</v>
      </c>
      <c r="D63" s="45">
        <f>IF(LEFT($C63,4)*1&lt;LEFT('General inputs'!$I$16,4)+'General inputs'!$H$38,SUM(G63,J63,M63,P63,S63,V63,Y63,AB63,AE63,AH63),"")</f>
        <v>1967</v>
      </c>
      <c r="F63" s="39">
        <v>1967</v>
      </c>
      <c r="G63" s="45">
        <f t="shared" si="11"/>
        <v>1967</v>
      </c>
      <c r="I63" s="39">
        <v>0</v>
      </c>
      <c r="J63" s="45">
        <f t="shared" si="12"/>
        <v>0</v>
      </c>
      <c r="L63" s="39">
        <v>0</v>
      </c>
      <c r="M63" s="45">
        <f t="shared" si="13"/>
        <v>0</v>
      </c>
      <c r="O63" s="39">
        <v>0</v>
      </c>
      <c r="P63" s="45">
        <f t="shared" si="14"/>
        <v>0</v>
      </c>
      <c r="R63" s="39">
        <v>0</v>
      </c>
      <c r="S63" s="45">
        <f t="shared" si="20"/>
        <v>0</v>
      </c>
      <c r="U63" s="39">
        <v>0</v>
      </c>
      <c r="V63" s="45">
        <f t="shared" si="15"/>
        <v>0</v>
      </c>
      <c r="X63" s="39">
        <v>0</v>
      </c>
      <c r="Y63" s="45">
        <f t="shared" si="16"/>
        <v>0</v>
      </c>
      <c r="AA63" s="39">
        <v>0</v>
      </c>
      <c r="AB63" s="45">
        <f t="shared" si="17"/>
        <v>0</v>
      </c>
      <c r="AD63" s="39">
        <v>0</v>
      </c>
      <c r="AE63" s="45">
        <f t="shared" si="18"/>
        <v>0</v>
      </c>
      <c r="AG63" s="39">
        <v>0</v>
      </c>
      <c r="AH63" s="45">
        <f t="shared" si="19"/>
        <v>0</v>
      </c>
    </row>
    <row r="64" spans="3:34" x14ac:dyDescent="0.25">
      <c r="C64" s="28" t="str">
        <f>'MP Calculations'!D91</f>
        <v>2047-48</v>
      </c>
      <c r="D64" s="45">
        <f>IF(LEFT($C64,4)*1&lt;LEFT('General inputs'!$I$16,4)+'General inputs'!$H$38,SUM(G64,J64,M64,P64,S64,V64,Y64,AB64,AE64,AH64),"")</f>
        <v>1993</v>
      </c>
      <c r="F64" s="39">
        <v>1993</v>
      </c>
      <c r="G64" s="45">
        <f t="shared" si="11"/>
        <v>1993</v>
      </c>
      <c r="I64" s="39">
        <v>0</v>
      </c>
      <c r="J64" s="45">
        <f t="shared" si="12"/>
        <v>0</v>
      </c>
      <c r="L64" s="39">
        <v>0</v>
      </c>
      <c r="M64" s="45">
        <f t="shared" si="13"/>
        <v>0</v>
      </c>
      <c r="O64" s="39">
        <v>0</v>
      </c>
      <c r="P64" s="45">
        <f t="shared" si="14"/>
        <v>0</v>
      </c>
      <c r="R64" s="39">
        <v>0</v>
      </c>
      <c r="S64" s="45">
        <f t="shared" si="20"/>
        <v>0</v>
      </c>
      <c r="U64" s="39">
        <v>0</v>
      </c>
      <c r="V64" s="45">
        <f t="shared" si="15"/>
        <v>0</v>
      </c>
      <c r="X64" s="39">
        <v>0</v>
      </c>
      <c r="Y64" s="45">
        <f t="shared" si="16"/>
        <v>0</v>
      </c>
      <c r="AA64" s="39">
        <v>0</v>
      </c>
      <c r="AB64" s="45">
        <f t="shared" si="17"/>
        <v>0</v>
      </c>
      <c r="AD64" s="39">
        <v>0</v>
      </c>
      <c r="AE64" s="45">
        <f t="shared" si="18"/>
        <v>0</v>
      </c>
      <c r="AG64" s="39">
        <v>0</v>
      </c>
      <c r="AH64" s="45">
        <f t="shared" si="19"/>
        <v>0</v>
      </c>
    </row>
    <row r="65" spans="3:34" x14ac:dyDescent="0.25">
      <c r="C65" s="28" t="str">
        <f>'MP Calculations'!D92</f>
        <v>2048-49</v>
      </c>
      <c r="D65" s="45">
        <f>IF(LEFT($C65,4)*1&lt;LEFT('General inputs'!$I$16,4)+'General inputs'!$H$38,SUM(G65,J65,M65,P65,S65,V65,Y65,AB65,AE65,AH65),"")</f>
        <v>2022</v>
      </c>
      <c r="F65" s="39">
        <v>2022</v>
      </c>
      <c r="G65" s="45">
        <f t="shared" si="11"/>
        <v>2022</v>
      </c>
      <c r="I65" s="39">
        <v>0</v>
      </c>
      <c r="J65" s="45">
        <f t="shared" si="12"/>
        <v>0</v>
      </c>
      <c r="L65" s="39"/>
      <c r="M65" s="45">
        <f t="shared" si="13"/>
        <v>0</v>
      </c>
      <c r="O65" s="39"/>
      <c r="P65" s="45">
        <f t="shared" si="14"/>
        <v>0</v>
      </c>
      <c r="R65" s="39"/>
      <c r="S65" s="45">
        <f t="shared" si="20"/>
        <v>0</v>
      </c>
      <c r="U65" s="39"/>
      <c r="V65" s="45">
        <f t="shared" si="15"/>
        <v>0</v>
      </c>
      <c r="X65" s="39"/>
      <c r="Y65" s="45">
        <f t="shared" si="16"/>
        <v>0</v>
      </c>
      <c r="AA65" s="39"/>
      <c r="AB65" s="45">
        <f t="shared" si="17"/>
        <v>0</v>
      </c>
      <c r="AD65" s="39"/>
      <c r="AE65" s="45">
        <f t="shared" si="18"/>
        <v>0</v>
      </c>
      <c r="AG65" s="39"/>
      <c r="AH65" s="45">
        <f t="shared" si="19"/>
        <v>0</v>
      </c>
    </row>
    <row r="66" spans="3:34" x14ac:dyDescent="0.25">
      <c r="C66" s="28" t="str">
        <f>'MP Calculations'!D93</f>
        <v>2049-50</v>
      </c>
      <c r="D66" s="45">
        <f>IF(LEFT($C66,4)*1&lt;LEFT('General inputs'!$I$16,4)+'General inputs'!$H$38,SUM(G66,J66,M66,P66,S66,V66,Y66,AB66,AE66,AH66),"")</f>
        <v>2049</v>
      </c>
      <c r="F66" s="39">
        <v>2049</v>
      </c>
      <c r="G66" s="45">
        <f t="shared" si="11"/>
        <v>2049</v>
      </c>
      <c r="I66" s="39"/>
      <c r="J66" s="45">
        <f t="shared" si="12"/>
        <v>0</v>
      </c>
      <c r="L66" s="39"/>
      <c r="M66" s="45">
        <f t="shared" si="13"/>
        <v>0</v>
      </c>
      <c r="O66" s="39"/>
      <c r="P66" s="45">
        <f t="shared" si="14"/>
        <v>0</v>
      </c>
      <c r="R66" s="39"/>
      <c r="S66" s="45">
        <f t="shared" si="20"/>
        <v>0</v>
      </c>
      <c r="U66" s="39"/>
      <c r="V66" s="45">
        <f t="shared" si="15"/>
        <v>0</v>
      </c>
      <c r="X66" s="39"/>
      <c r="Y66" s="45">
        <f t="shared" si="16"/>
        <v>0</v>
      </c>
      <c r="AA66" s="39"/>
      <c r="AB66" s="45">
        <f t="shared" si="17"/>
        <v>0</v>
      </c>
      <c r="AD66" s="39"/>
      <c r="AE66" s="45">
        <f t="shared" si="18"/>
        <v>0</v>
      </c>
      <c r="AG66" s="39"/>
      <c r="AH66" s="45">
        <f t="shared" si="19"/>
        <v>0</v>
      </c>
    </row>
    <row r="67" spans="3:34" x14ac:dyDescent="0.25">
      <c r="C67" s="28" t="str">
        <f>'MP Calculations'!D94</f>
        <v>2050-51</v>
      </c>
      <c r="D67" s="45">
        <f>IF(LEFT($C67,4)*1&lt;LEFT('General inputs'!$I$16,4)+'General inputs'!$H$38,SUM(G67,J67,M67,P67,S67,V67,Y67,AB67,AE67,AH67),"")</f>
        <v>2078</v>
      </c>
      <c r="F67" s="39">
        <v>2078</v>
      </c>
      <c r="G67" s="45">
        <f t="shared" si="11"/>
        <v>2078</v>
      </c>
      <c r="I67" s="39"/>
      <c r="J67" s="45">
        <f t="shared" si="12"/>
        <v>0</v>
      </c>
      <c r="L67" s="39"/>
      <c r="M67" s="45">
        <f t="shared" si="13"/>
        <v>0</v>
      </c>
      <c r="O67" s="39"/>
      <c r="P67" s="45">
        <f t="shared" si="14"/>
        <v>0</v>
      </c>
      <c r="R67" s="39"/>
      <c r="S67" s="45">
        <f t="shared" si="20"/>
        <v>0</v>
      </c>
      <c r="U67" s="39"/>
      <c r="V67" s="45">
        <f t="shared" si="15"/>
        <v>0</v>
      </c>
      <c r="X67" s="39"/>
      <c r="Y67" s="45">
        <f t="shared" si="16"/>
        <v>0</v>
      </c>
      <c r="AA67" s="39"/>
      <c r="AB67" s="45">
        <f t="shared" si="17"/>
        <v>0</v>
      </c>
      <c r="AD67" s="39"/>
      <c r="AE67" s="45">
        <f t="shared" si="18"/>
        <v>0</v>
      </c>
      <c r="AG67" s="39"/>
      <c r="AH67" s="45">
        <f t="shared" si="19"/>
        <v>0</v>
      </c>
    </row>
    <row r="68" spans="3:34" x14ac:dyDescent="0.25">
      <c r="C68" s="28" t="str">
        <f>'MP Calculations'!D95</f>
        <v>2051-52</v>
      </c>
      <c r="D68" s="45">
        <f>IF(LEFT($C68,4)*1&lt;LEFT('General inputs'!$I$16,4)+'General inputs'!$H$38,SUM(G68,J68,M68,P68,S68,V68,Y68,AB68,AE68,AH68),"")</f>
        <v>2107</v>
      </c>
      <c r="F68" s="39">
        <v>2107</v>
      </c>
      <c r="G68" s="45">
        <f t="shared" si="11"/>
        <v>2107</v>
      </c>
      <c r="I68" s="39"/>
      <c r="J68" s="45">
        <f t="shared" si="12"/>
        <v>0</v>
      </c>
      <c r="L68" s="39"/>
      <c r="M68" s="45">
        <f t="shared" si="13"/>
        <v>0</v>
      </c>
      <c r="O68" s="39"/>
      <c r="P68" s="45">
        <f t="shared" si="14"/>
        <v>0</v>
      </c>
      <c r="R68" s="39"/>
      <c r="S68" s="45">
        <f t="shared" si="20"/>
        <v>0</v>
      </c>
      <c r="U68" s="39"/>
      <c r="V68" s="45">
        <f t="shared" si="15"/>
        <v>0</v>
      </c>
      <c r="X68" s="39"/>
      <c r="Y68" s="45">
        <f t="shared" si="16"/>
        <v>0</v>
      </c>
      <c r="AA68" s="39"/>
      <c r="AB68" s="45">
        <f t="shared" si="17"/>
        <v>0</v>
      </c>
      <c r="AD68" s="39"/>
      <c r="AE68" s="45">
        <f t="shared" si="18"/>
        <v>0</v>
      </c>
      <c r="AG68" s="39"/>
      <c r="AH68" s="45">
        <f t="shared" si="19"/>
        <v>0</v>
      </c>
    </row>
    <row r="69" spans="3:34" x14ac:dyDescent="0.25">
      <c r="C69" s="28" t="str">
        <f>'MP Calculations'!D96</f>
        <v>2052-53</v>
      </c>
      <c r="D69" s="45">
        <f>IF(LEFT($C69,4)*1&lt;LEFT('General inputs'!$I$16,4)+'General inputs'!$H$38,SUM(G69,J69,M69,P69,S69,V69,Y69,AB69,AE69,AH69),"")</f>
        <v>2136</v>
      </c>
      <c r="F69" s="39">
        <v>2136</v>
      </c>
      <c r="G69" s="45">
        <f t="shared" si="11"/>
        <v>2136</v>
      </c>
      <c r="I69" s="39"/>
      <c r="J69" s="45">
        <f t="shared" si="12"/>
        <v>0</v>
      </c>
      <c r="L69" s="39"/>
      <c r="M69" s="45">
        <f t="shared" si="13"/>
        <v>0</v>
      </c>
      <c r="O69" s="39"/>
      <c r="P69" s="45">
        <f t="shared" si="14"/>
        <v>0</v>
      </c>
      <c r="R69" s="39"/>
      <c r="S69" s="45">
        <f t="shared" si="20"/>
        <v>0</v>
      </c>
      <c r="U69" s="39"/>
      <c r="V69" s="45">
        <f t="shared" si="15"/>
        <v>0</v>
      </c>
      <c r="X69" s="39"/>
      <c r="Y69" s="45">
        <f t="shared" si="16"/>
        <v>0</v>
      </c>
      <c r="AA69" s="39"/>
      <c r="AB69" s="45">
        <f t="shared" si="17"/>
        <v>0</v>
      </c>
      <c r="AD69" s="39"/>
      <c r="AE69" s="45">
        <f t="shared" si="18"/>
        <v>0</v>
      </c>
      <c r="AG69" s="39"/>
      <c r="AH69" s="45">
        <f t="shared" si="19"/>
        <v>0</v>
      </c>
    </row>
    <row r="70" spans="3:34" x14ac:dyDescent="0.25">
      <c r="C70" s="28" t="str">
        <f>'MP Calculations'!D97</f>
        <v>2053-54</v>
      </c>
      <c r="D70" s="45">
        <f>IF(LEFT($C70,4)*1&lt;LEFT('General inputs'!$I$16,4)+'General inputs'!$H$38,SUM(G70,J70,M70,P70,S70,V70,Y70,AB70,AE70,AH70),"")</f>
        <v>2166</v>
      </c>
      <c r="F70" s="39">
        <v>2166</v>
      </c>
      <c r="G70" s="45">
        <f t="shared" si="11"/>
        <v>2166</v>
      </c>
      <c r="I70" s="39"/>
      <c r="J70" s="45">
        <f t="shared" si="12"/>
        <v>0</v>
      </c>
      <c r="L70" s="39"/>
      <c r="M70" s="45">
        <f t="shared" si="13"/>
        <v>0</v>
      </c>
      <c r="O70" s="39"/>
      <c r="P70" s="45">
        <f t="shared" si="14"/>
        <v>0</v>
      </c>
      <c r="R70" s="39"/>
      <c r="S70" s="45">
        <f t="shared" si="20"/>
        <v>0</v>
      </c>
      <c r="U70" s="39"/>
      <c r="V70" s="45">
        <f t="shared" si="15"/>
        <v>0</v>
      </c>
      <c r="X70" s="39"/>
      <c r="Y70" s="45">
        <f t="shared" si="16"/>
        <v>0</v>
      </c>
      <c r="AA70" s="39"/>
      <c r="AB70" s="45">
        <f t="shared" si="17"/>
        <v>0</v>
      </c>
      <c r="AD70" s="39"/>
      <c r="AE70" s="45">
        <f t="shared" si="18"/>
        <v>0</v>
      </c>
      <c r="AG70" s="39"/>
      <c r="AH70" s="45">
        <f t="shared" si="19"/>
        <v>0</v>
      </c>
    </row>
    <row r="71" spans="3:34" x14ac:dyDescent="0.25">
      <c r="C71" s="28" t="str">
        <f>'MP Calculations'!D98</f>
        <v>2054-55</v>
      </c>
      <c r="D71" s="45" t="str">
        <f>IF(LEFT($C71,4)*1&lt;LEFT('General inputs'!$I$16,4)+'General inputs'!$H$38,SUM(G71,J71,M71,P71,S71,V71,Y71,AB71,AE71,AH71),"")</f>
        <v/>
      </c>
      <c r="F71" s="39">
        <v>2196</v>
      </c>
      <c r="G71" s="45">
        <f t="shared" si="11"/>
        <v>2196</v>
      </c>
      <c r="I71" s="39"/>
      <c r="J71" s="45">
        <f t="shared" si="12"/>
        <v>0</v>
      </c>
      <c r="L71" s="39"/>
      <c r="M71" s="45">
        <f t="shared" si="13"/>
        <v>0</v>
      </c>
      <c r="O71" s="39"/>
      <c r="P71" s="45">
        <f t="shared" si="14"/>
        <v>0</v>
      </c>
      <c r="R71" s="39"/>
      <c r="S71" s="45">
        <f t="shared" si="20"/>
        <v>0</v>
      </c>
      <c r="U71" s="39"/>
      <c r="V71" s="45">
        <f t="shared" si="15"/>
        <v>0</v>
      </c>
      <c r="X71" s="39"/>
      <c r="Y71" s="45">
        <f t="shared" si="16"/>
        <v>0</v>
      </c>
      <c r="AA71" s="39"/>
      <c r="AB71" s="45">
        <f t="shared" si="17"/>
        <v>0</v>
      </c>
      <c r="AD71" s="39"/>
      <c r="AE71" s="45">
        <f t="shared" si="18"/>
        <v>0</v>
      </c>
      <c r="AG71" s="39"/>
      <c r="AH71" s="45">
        <f t="shared" si="19"/>
        <v>0</v>
      </c>
    </row>
    <row r="72" spans="3:34" x14ac:dyDescent="0.25">
      <c r="C72" s="28" t="str">
        <f>'MP Calculations'!D99</f>
        <v>2055-56</v>
      </c>
      <c r="D72" s="45" t="str">
        <f>IF(LEFT($C72,4)*1&lt;LEFT('General inputs'!$I$16,4)+'General inputs'!$H$38,SUM(G72,J72,M72,P72,S72,V72,Y72,AB72,AE72,AH72),"")</f>
        <v/>
      </c>
      <c r="F72" s="39"/>
      <c r="G72" s="45">
        <f t="shared" si="11"/>
        <v>0</v>
      </c>
      <c r="I72" s="39"/>
      <c r="J72" s="45">
        <f t="shared" si="12"/>
        <v>0</v>
      </c>
      <c r="L72" s="39"/>
      <c r="M72" s="45">
        <f t="shared" si="13"/>
        <v>0</v>
      </c>
      <c r="O72" s="39"/>
      <c r="P72" s="45">
        <f t="shared" si="14"/>
        <v>0</v>
      </c>
      <c r="R72" s="39"/>
      <c r="S72" s="45">
        <f t="shared" si="20"/>
        <v>0</v>
      </c>
      <c r="U72" s="39"/>
      <c r="V72" s="45">
        <f t="shared" si="15"/>
        <v>0</v>
      </c>
      <c r="X72" s="39"/>
      <c r="Y72" s="45">
        <f t="shared" si="16"/>
        <v>0</v>
      </c>
      <c r="AA72" s="39"/>
      <c r="AB72" s="45">
        <f t="shared" si="17"/>
        <v>0</v>
      </c>
      <c r="AD72" s="39"/>
      <c r="AE72" s="45">
        <f t="shared" si="18"/>
        <v>0</v>
      </c>
      <c r="AG72" s="39"/>
      <c r="AH72" s="45">
        <f t="shared" si="19"/>
        <v>0</v>
      </c>
    </row>
    <row r="73" spans="3:34" x14ac:dyDescent="0.25">
      <c r="C73" s="28" t="str">
        <f>'MP Calculations'!D100</f>
        <v>2056-57</v>
      </c>
      <c r="D73" s="45" t="str">
        <f>IF(LEFT($C73,4)*1&lt;LEFT('General inputs'!$I$16,4)+'General inputs'!$H$38,SUM(G73,J73,M73,P73,S73,V73,Y73,AB73,AE73,AH73),"")</f>
        <v/>
      </c>
      <c r="F73" s="39"/>
      <c r="G73" s="45">
        <f t="shared" si="11"/>
        <v>0</v>
      </c>
      <c r="I73" s="39"/>
      <c r="J73" s="45">
        <f t="shared" si="12"/>
        <v>0</v>
      </c>
      <c r="L73" s="39"/>
      <c r="M73" s="45">
        <f t="shared" si="13"/>
        <v>0</v>
      </c>
      <c r="O73" s="39"/>
      <c r="P73" s="45">
        <f t="shared" si="14"/>
        <v>0</v>
      </c>
      <c r="R73" s="39"/>
      <c r="S73" s="45">
        <f t="shared" si="20"/>
        <v>0</v>
      </c>
      <c r="U73" s="39"/>
      <c r="V73" s="45">
        <f t="shared" si="15"/>
        <v>0</v>
      </c>
      <c r="X73" s="39"/>
      <c r="Y73" s="45">
        <f t="shared" si="16"/>
        <v>0</v>
      </c>
      <c r="AA73" s="39"/>
      <c r="AB73" s="45">
        <f t="shared" si="17"/>
        <v>0</v>
      </c>
      <c r="AD73" s="39"/>
      <c r="AE73" s="45">
        <f t="shared" si="18"/>
        <v>0</v>
      </c>
      <c r="AG73" s="39"/>
      <c r="AH73" s="45">
        <f t="shared" si="19"/>
        <v>0</v>
      </c>
    </row>
    <row r="74" spans="3:34" x14ac:dyDescent="0.25">
      <c r="C74" s="28" t="str">
        <f>'MP Calculations'!D101</f>
        <v>2057-58</v>
      </c>
      <c r="D74" s="45" t="str">
        <f>IF(LEFT($C74,4)*1&lt;LEFT('General inputs'!$I$16,4)+'General inputs'!$H$38,SUM(G74,J74,M74,P74,S74,V74,Y74,AB74,AE74,AH74),"")</f>
        <v/>
      </c>
      <c r="F74" s="39"/>
      <c r="G74" s="45">
        <f t="shared" si="11"/>
        <v>0</v>
      </c>
      <c r="I74" s="39"/>
      <c r="J74" s="45">
        <f t="shared" si="12"/>
        <v>0</v>
      </c>
      <c r="L74" s="39"/>
      <c r="M74" s="45">
        <f t="shared" si="13"/>
        <v>0</v>
      </c>
      <c r="O74" s="39"/>
      <c r="P74" s="45">
        <f t="shared" si="14"/>
        <v>0</v>
      </c>
      <c r="R74" s="39"/>
      <c r="S74" s="45">
        <f t="shared" si="20"/>
        <v>0</v>
      </c>
      <c r="U74" s="39"/>
      <c r="V74" s="45">
        <f t="shared" si="15"/>
        <v>0</v>
      </c>
      <c r="X74" s="39"/>
      <c r="Y74" s="45">
        <f t="shared" si="16"/>
        <v>0</v>
      </c>
      <c r="AA74" s="39"/>
      <c r="AB74" s="45">
        <f t="shared" si="17"/>
        <v>0</v>
      </c>
      <c r="AD74" s="39"/>
      <c r="AE74" s="45">
        <f t="shared" si="18"/>
        <v>0</v>
      </c>
      <c r="AG74" s="39"/>
      <c r="AH74" s="45">
        <f t="shared" si="19"/>
        <v>0</v>
      </c>
    </row>
    <row r="75" spans="3:34" x14ac:dyDescent="0.25">
      <c r="C75" s="28" t="str">
        <f>'MP Calculations'!D102</f>
        <v>2058-59</v>
      </c>
      <c r="D75" s="45" t="str">
        <f>IF(LEFT($C75,4)*1&lt;LEFT('General inputs'!$I$16,4)+'General inputs'!$H$38,SUM(G75,J75,M75,P75,S75,V75,Y75,AB75,AE75,AH75),"")</f>
        <v/>
      </c>
      <c r="F75" s="39"/>
      <c r="G75" s="45">
        <f t="shared" si="11"/>
        <v>0</v>
      </c>
      <c r="I75" s="39"/>
      <c r="J75" s="45">
        <f t="shared" si="12"/>
        <v>0</v>
      </c>
      <c r="L75" s="39"/>
      <c r="M75" s="45">
        <f t="shared" si="13"/>
        <v>0</v>
      </c>
      <c r="O75" s="39"/>
      <c r="P75" s="45">
        <f t="shared" si="14"/>
        <v>0</v>
      </c>
      <c r="R75" s="39"/>
      <c r="S75" s="45">
        <f t="shared" si="20"/>
        <v>0</v>
      </c>
      <c r="U75" s="39"/>
      <c r="V75" s="45">
        <f t="shared" si="15"/>
        <v>0</v>
      </c>
      <c r="X75" s="39"/>
      <c r="Y75" s="45">
        <f t="shared" si="16"/>
        <v>0</v>
      </c>
      <c r="AA75" s="39"/>
      <c r="AB75" s="45">
        <f t="shared" si="17"/>
        <v>0</v>
      </c>
      <c r="AD75" s="39"/>
      <c r="AE75" s="45">
        <f t="shared" si="18"/>
        <v>0</v>
      </c>
      <c r="AG75" s="39"/>
      <c r="AH75" s="45">
        <f t="shared" si="19"/>
        <v>0</v>
      </c>
    </row>
    <row r="76" spans="3:34" x14ac:dyDescent="0.25">
      <c r="C76" s="28" t="str">
        <f>'MP Calculations'!D103</f>
        <v>2059-60</v>
      </c>
      <c r="D76" s="45" t="str">
        <f>IF(LEFT($C76,4)*1&lt;LEFT('General inputs'!$I$16,4)+'General inputs'!$H$38,SUM(G76,J76,M76,P76,S76,V76,Y76,AB76,AE76,AH76),"")</f>
        <v/>
      </c>
      <c r="F76" s="39"/>
      <c r="G76" s="45">
        <f t="shared" ref="G76:G102" si="21">F76*$G$9/$F$6</f>
        <v>0</v>
      </c>
      <c r="I76" s="39"/>
      <c r="J76" s="45">
        <f t="shared" ref="J76:J102" si="22">I76*$J$9/$F$6</f>
        <v>0</v>
      </c>
      <c r="L76" s="39"/>
      <c r="M76" s="45">
        <f t="shared" ref="M76:M102" si="23">L76*$M$9/$F$6</f>
        <v>0</v>
      </c>
      <c r="O76" s="39"/>
      <c r="P76" s="45">
        <f t="shared" ref="P76:P102" si="24">O76*$P$9/$F$6</f>
        <v>0</v>
      </c>
      <c r="R76" s="39"/>
      <c r="S76" s="45">
        <f t="shared" ref="S76:S102" si="25">R76*$S$9/$F$6</f>
        <v>0</v>
      </c>
      <c r="U76" s="39"/>
      <c r="V76" s="45">
        <f t="shared" ref="V76:V102" si="26">U76*$V$9/$F$6</f>
        <v>0</v>
      </c>
      <c r="X76" s="39"/>
      <c r="Y76" s="45">
        <f t="shared" ref="Y76:Y102" si="27">X76*$Y$9/$F$6</f>
        <v>0</v>
      </c>
      <c r="AA76" s="39"/>
      <c r="AB76" s="45">
        <f t="shared" ref="AB76:AB102" si="28">AA76*$AB$9/$F$6</f>
        <v>0</v>
      </c>
      <c r="AD76" s="39"/>
      <c r="AE76" s="45">
        <f t="shared" ref="AE76:AE102" si="29">AD76*$AE$9/$F$6</f>
        <v>0</v>
      </c>
      <c r="AG76" s="39"/>
      <c r="AH76" s="45">
        <f t="shared" ref="AH76:AH102" si="30">AG76*$AH$9/$F$6</f>
        <v>0</v>
      </c>
    </row>
    <row r="77" spans="3:34" x14ac:dyDescent="0.25">
      <c r="C77" s="28" t="str">
        <f>'MP Calculations'!D104</f>
        <v>2060-61</v>
      </c>
      <c r="D77" s="45" t="str">
        <f>IF(LEFT($C77,4)*1&lt;LEFT('General inputs'!$I$16,4)+'General inputs'!$H$38,SUM(G77,J77,M77,P77,S77,V77,Y77,AB77,AE77,AH77),"")</f>
        <v/>
      </c>
      <c r="F77" s="39"/>
      <c r="G77" s="45">
        <f t="shared" si="21"/>
        <v>0</v>
      </c>
      <c r="I77" s="39"/>
      <c r="J77" s="45">
        <f t="shared" si="22"/>
        <v>0</v>
      </c>
      <c r="L77" s="39"/>
      <c r="M77" s="45">
        <f t="shared" si="23"/>
        <v>0</v>
      </c>
      <c r="O77" s="39"/>
      <c r="P77" s="45">
        <f t="shared" si="24"/>
        <v>0</v>
      </c>
      <c r="R77" s="39"/>
      <c r="S77" s="45">
        <f t="shared" si="25"/>
        <v>0</v>
      </c>
      <c r="U77" s="39"/>
      <c r="V77" s="45">
        <f t="shared" si="26"/>
        <v>0</v>
      </c>
      <c r="X77" s="39"/>
      <c r="Y77" s="45">
        <f t="shared" si="27"/>
        <v>0</v>
      </c>
      <c r="AA77" s="39"/>
      <c r="AB77" s="45">
        <f t="shared" si="28"/>
        <v>0</v>
      </c>
      <c r="AD77" s="39"/>
      <c r="AE77" s="45">
        <f t="shared" si="29"/>
        <v>0</v>
      </c>
      <c r="AG77" s="39"/>
      <c r="AH77" s="45">
        <f t="shared" si="30"/>
        <v>0</v>
      </c>
    </row>
    <row r="78" spans="3:34" x14ac:dyDescent="0.25">
      <c r="C78" s="28" t="str">
        <f>'MP Calculations'!D105</f>
        <v>2061-62</v>
      </c>
      <c r="D78" s="45" t="str">
        <f>IF(LEFT($C78,4)*1&lt;LEFT('General inputs'!$I$16,4)+'General inputs'!$H$38,SUM(G78,J78,M78,P78,S78,V78,Y78,AB78,AE78,AH78),"")</f>
        <v/>
      </c>
      <c r="F78" s="39"/>
      <c r="G78" s="45">
        <f t="shared" si="21"/>
        <v>0</v>
      </c>
      <c r="I78" s="39"/>
      <c r="J78" s="45">
        <f t="shared" si="22"/>
        <v>0</v>
      </c>
      <c r="L78" s="39"/>
      <c r="M78" s="45">
        <f t="shared" si="23"/>
        <v>0</v>
      </c>
      <c r="O78" s="39"/>
      <c r="P78" s="45">
        <f t="shared" si="24"/>
        <v>0</v>
      </c>
      <c r="R78" s="39"/>
      <c r="S78" s="45">
        <f t="shared" si="25"/>
        <v>0</v>
      </c>
      <c r="U78" s="39"/>
      <c r="V78" s="45">
        <f t="shared" si="26"/>
        <v>0</v>
      </c>
      <c r="X78" s="39"/>
      <c r="Y78" s="45">
        <f t="shared" si="27"/>
        <v>0</v>
      </c>
      <c r="AA78" s="39"/>
      <c r="AB78" s="45">
        <f t="shared" si="28"/>
        <v>0</v>
      </c>
      <c r="AD78" s="39"/>
      <c r="AE78" s="45">
        <f t="shared" si="29"/>
        <v>0</v>
      </c>
      <c r="AG78" s="39"/>
      <c r="AH78" s="45">
        <f t="shared" si="30"/>
        <v>0</v>
      </c>
    </row>
    <row r="79" spans="3:34" x14ac:dyDescent="0.25">
      <c r="C79" s="28" t="str">
        <f>'MP Calculations'!D106</f>
        <v>2062-63</v>
      </c>
      <c r="D79" s="45" t="str">
        <f>IF(LEFT($C79,4)*1&lt;LEFT('General inputs'!$I$16,4)+'General inputs'!$H$38,SUM(G79,J79,M79,P79,S79,V79,Y79,AB79,AE79,AH79),"")</f>
        <v/>
      </c>
      <c r="F79" s="39"/>
      <c r="G79" s="45">
        <f t="shared" si="21"/>
        <v>0</v>
      </c>
      <c r="I79" s="39"/>
      <c r="J79" s="45">
        <f t="shared" si="22"/>
        <v>0</v>
      </c>
      <c r="L79" s="39"/>
      <c r="M79" s="45">
        <f t="shared" si="23"/>
        <v>0</v>
      </c>
      <c r="O79" s="39"/>
      <c r="P79" s="45">
        <f t="shared" si="24"/>
        <v>0</v>
      </c>
      <c r="R79" s="39"/>
      <c r="S79" s="45">
        <f t="shared" si="25"/>
        <v>0</v>
      </c>
      <c r="U79" s="39"/>
      <c r="V79" s="45">
        <f t="shared" si="26"/>
        <v>0</v>
      </c>
      <c r="X79" s="39"/>
      <c r="Y79" s="45">
        <f t="shared" si="27"/>
        <v>0</v>
      </c>
      <c r="AA79" s="39"/>
      <c r="AB79" s="45">
        <f t="shared" si="28"/>
        <v>0</v>
      </c>
      <c r="AD79" s="39"/>
      <c r="AE79" s="45">
        <f t="shared" si="29"/>
        <v>0</v>
      </c>
      <c r="AG79" s="39"/>
      <c r="AH79" s="45">
        <f t="shared" si="30"/>
        <v>0</v>
      </c>
    </row>
    <row r="80" spans="3:34" x14ac:dyDescent="0.25">
      <c r="C80" s="28" t="str">
        <f>'MP Calculations'!D107</f>
        <v>2063-64</v>
      </c>
      <c r="D80" s="45" t="str">
        <f>IF(LEFT($C80,4)*1&lt;LEFT('General inputs'!$I$16,4)+'General inputs'!$H$38,SUM(G80,J80,M80,P80,S80,V80,Y80,AB80,AE80,AH80),"")</f>
        <v/>
      </c>
      <c r="F80" s="39"/>
      <c r="G80" s="45">
        <f t="shared" si="21"/>
        <v>0</v>
      </c>
      <c r="I80" s="39"/>
      <c r="J80" s="45">
        <f t="shared" si="22"/>
        <v>0</v>
      </c>
      <c r="L80" s="39"/>
      <c r="M80" s="45">
        <f t="shared" si="23"/>
        <v>0</v>
      </c>
      <c r="O80" s="39"/>
      <c r="P80" s="45">
        <f t="shared" si="24"/>
        <v>0</v>
      </c>
      <c r="R80" s="39"/>
      <c r="S80" s="45">
        <f t="shared" si="25"/>
        <v>0</v>
      </c>
      <c r="U80" s="39"/>
      <c r="V80" s="45">
        <f t="shared" si="26"/>
        <v>0</v>
      </c>
      <c r="X80" s="39"/>
      <c r="Y80" s="45">
        <f t="shared" si="27"/>
        <v>0</v>
      </c>
      <c r="AA80" s="39"/>
      <c r="AB80" s="45">
        <f t="shared" si="28"/>
        <v>0</v>
      </c>
      <c r="AD80" s="39"/>
      <c r="AE80" s="45">
        <f t="shared" si="29"/>
        <v>0</v>
      </c>
      <c r="AG80" s="39"/>
      <c r="AH80" s="45">
        <f t="shared" si="30"/>
        <v>0</v>
      </c>
    </row>
    <row r="81" spans="3:34" x14ac:dyDescent="0.25">
      <c r="C81" s="28" t="str">
        <f>'MP Calculations'!D108</f>
        <v>2064-65</v>
      </c>
      <c r="D81" s="45" t="str">
        <f>IF(LEFT($C81,4)*1&lt;LEFT('General inputs'!$I$16,4)+'General inputs'!$H$38,SUM(G81,J81,M81,P81,S81,V81,Y81,AB81,AE81,AH81),"")</f>
        <v/>
      </c>
      <c r="F81" s="39"/>
      <c r="G81" s="45">
        <f t="shared" si="21"/>
        <v>0</v>
      </c>
      <c r="I81" s="39"/>
      <c r="J81" s="45">
        <f t="shared" si="22"/>
        <v>0</v>
      </c>
      <c r="L81" s="39"/>
      <c r="M81" s="45">
        <f t="shared" si="23"/>
        <v>0</v>
      </c>
      <c r="O81" s="39"/>
      <c r="P81" s="45">
        <f t="shared" si="24"/>
        <v>0</v>
      </c>
      <c r="R81" s="39"/>
      <c r="S81" s="45">
        <f t="shared" si="25"/>
        <v>0</v>
      </c>
      <c r="U81" s="39"/>
      <c r="V81" s="45">
        <f t="shared" si="26"/>
        <v>0</v>
      </c>
      <c r="X81" s="39"/>
      <c r="Y81" s="45">
        <f t="shared" si="27"/>
        <v>0</v>
      </c>
      <c r="AA81" s="39"/>
      <c r="AB81" s="45">
        <f t="shared" si="28"/>
        <v>0</v>
      </c>
      <c r="AD81" s="39"/>
      <c r="AE81" s="45">
        <f t="shared" si="29"/>
        <v>0</v>
      </c>
      <c r="AG81" s="39"/>
      <c r="AH81" s="45">
        <f t="shared" si="30"/>
        <v>0</v>
      </c>
    </row>
    <row r="82" spans="3:34" x14ac:dyDescent="0.25">
      <c r="C82" s="28" t="str">
        <f>'MP Calculations'!D109</f>
        <v>2065-66</v>
      </c>
      <c r="D82" s="45" t="str">
        <f>IF(LEFT($C82,4)*1&lt;LEFT('General inputs'!$I$16,4)+'General inputs'!$H$38,SUM(G82,J82,M82,P82,S82,V82,Y82,AB82,AE82,AH82),"")</f>
        <v/>
      </c>
      <c r="F82" s="39"/>
      <c r="G82" s="45">
        <f t="shared" si="21"/>
        <v>0</v>
      </c>
      <c r="I82" s="39"/>
      <c r="J82" s="45">
        <f t="shared" si="22"/>
        <v>0</v>
      </c>
      <c r="L82" s="39"/>
      <c r="M82" s="45">
        <f t="shared" si="23"/>
        <v>0</v>
      </c>
      <c r="O82" s="39"/>
      <c r="P82" s="45">
        <f t="shared" si="24"/>
        <v>0</v>
      </c>
      <c r="R82" s="39"/>
      <c r="S82" s="45">
        <f t="shared" si="25"/>
        <v>0</v>
      </c>
      <c r="U82" s="39"/>
      <c r="V82" s="45">
        <f t="shared" si="26"/>
        <v>0</v>
      </c>
      <c r="X82" s="39"/>
      <c r="Y82" s="45">
        <f t="shared" si="27"/>
        <v>0</v>
      </c>
      <c r="AA82" s="39"/>
      <c r="AB82" s="45">
        <f t="shared" si="28"/>
        <v>0</v>
      </c>
      <c r="AD82" s="39"/>
      <c r="AE82" s="45">
        <f t="shared" si="29"/>
        <v>0</v>
      </c>
      <c r="AG82" s="39"/>
      <c r="AH82" s="45">
        <f t="shared" si="30"/>
        <v>0</v>
      </c>
    </row>
    <row r="83" spans="3:34" x14ac:dyDescent="0.25">
      <c r="C83" s="28" t="str">
        <f>'MP Calculations'!D110</f>
        <v>2066-67</v>
      </c>
      <c r="D83" s="45" t="str">
        <f>IF(LEFT($C83,4)*1&lt;LEFT('General inputs'!$I$16,4)+'General inputs'!$H$38,SUM(G83,J83,M83,P83,S83,V83,Y83,AB83,AE83,AH83),"")</f>
        <v/>
      </c>
      <c r="F83" s="39"/>
      <c r="G83" s="45">
        <f t="shared" si="21"/>
        <v>0</v>
      </c>
      <c r="I83" s="39"/>
      <c r="J83" s="45">
        <f t="shared" si="22"/>
        <v>0</v>
      </c>
      <c r="L83" s="39"/>
      <c r="M83" s="45">
        <f t="shared" si="23"/>
        <v>0</v>
      </c>
      <c r="O83" s="39"/>
      <c r="P83" s="45">
        <f t="shared" si="24"/>
        <v>0</v>
      </c>
      <c r="R83" s="39"/>
      <c r="S83" s="45">
        <f t="shared" si="25"/>
        <v>0</v>
      </c>
      <c r="U83" s="39"/>
      <c r="V83" s="45">
        <f t="shared" si="26"/>
        <v>0</v>
      </c>
      <c r="X83" s="39"/>
      <c r="Y83" s="45">
        <f t="shared" si="27"/>
        <v>0</v>
      </c>
      <c r="AA83" s="39"/>
      <c r="AB83" s="45">
        <f t="shared" si="28"/>
        <v>0</v>
      </c>
      <c r="AD83" s="39"/>
      <c r="AE83" s="45">
        <f t="shared" si="29"/>
        <v>0</v>
      </c>
      <c r="AG83" s="39"/>
      <c r="AH83" s="45">
        <f t="shared" si="30"/>
        <v>0</v>
      </c>
    </row>
    <row r="84" spans="3:34" x14ac:dyDescent="0.25">
      <c r="C84" s="28" t="str">
        <f>'MP Calculations'!D111</f>
        <v>2067-68</v>
      </c>
      <c r="D84" s="45" t="str">
        <f>IF(LEFT($C84,4)*1&lt;LEFT('General inputs'!$I$16,4)+'General inputs'!$H$38,SUM(G84,J84,M84,P84,S84,V84,Y84,AB84,AE84,AH84),"")</f>
        <v/>
      </c>
      <c r="F84" s="39"/>
      <c r="G84" s="45">
        <f t="shared" si="21"/>
        <v>0</v>
      </c>
      <c r="I84" s="39"/>
      <c r="J84" s="45">
        <f t="shared" si="22"/>
        <v>0</v>
      </c>
      <c r="L84" s="39"/>
      <c r="M84" s="45">
        <f t="shared" si="23"/>
        <v>0</v>
      </c>
      <c r="O84" s="39"/>
      <c r="P84" s="45">
        <f t="shared" si="24"/>
        <v>0</v>
      </c>
      <c r="R84" s="39"/>
      <c r="S84" s="45">
        <f t="shared" si="25"/>
        <v>0</v>
      </c>
      <c r="U84" s="39"/>
      <c r="V84" s="45">
        <f t="shared" si="26"/>
        <v>0</v>
      </c>
      <c r="X84" s="39"/>
      <c r="Y84" s="45">
        <f t="shared" si="27"/>
        <v>0</v>
      </c>
      <c r="AA84" s="39"/>
      <c r="AB84" s="45">
        <f t="shared" si="28"/>
        <v>0</v>
      </c>
      <c r="AD84" s="39"/>
      <c r="AE84" s="45">
        <f t="shared" si="29"/>
        <v>0</v>
      </c>
      <c r="AG84" s="39"/>
      <c r="AH84" s="45">
        <f t="shared" si="30"/>
        <v>0</v>
      </c>
    </row>
    <row r="85" spans="3:34" x14ac:dyDescent="0.25">
      <c r="C85" s="28" t="str">
        <f>'MP Calculations'!D112</f>
        <v>2068-69</v>
      </c>
      <c r="D85" s="45" t="str">
        <f>IF(LEFT($C85,4)*1&lt;LEFT('General inputs'!$I$16,4)+'General inputs'!$H$38,SUM(G85,J85,M85,P85,S85,V85,Y85,AB85,AE85,AH85),"")</f>
        <v/>
      </c>
      <c r="F85" s="39"/>
      <c r="G85" s="45">
        <f t="shared" si="21"/>
        <v>0</v>
      </c>
      <c r="I85" s="39"/>
      <c r="J85" s="45">
        <f t="shared" si="22"/>
        <v>0</v>
      </c>
      <c r="L85" s="39"/>
      <c r="M85" s="45">
        <f t="shared" si="23"/>
        <v>0</v>
      </c>
      <c r="O85" s="39"/>
      <c r="P85" s="45">
        <f t="shared" si="24"/>
        <v>0</v>
      </c>
      <c r="R85" s="39"/>
      <c r="S85" s="45">
        <f t="shared" si="25"/>
        <v>0</v>
      </c>
      <c r="U85" s="39"/>
      <c r="V85" s="45">
        <f t="shared" si="26"/>
        <v>0</v>
      </c>
      <c r="X85" s="39"/>
      <c r="Y85" s="45">
        <f t="shared" si="27"/>
        <v>0</v>
      </c>
      <c r="AA85" s="39"/>
      <c r="AB85" s="45">
        <f t="shared" si="28"/>
        <v>0</v>
      </c>
      <c r="AD85" s="39"/>
      <c r="AE85" s="45">
        <f t="shared" si="29"/>
        <v>0</v>
      </c>
      <c r="AG85" s="39"/>
      <c r="AH85" s="45">
        <f t="shared" si="30"/>
        <v>0</v>
      </c>
    </row>
    <row r="86" spans="3:34" x14ac:dyDescent="0.25">
      <c r="C86" s="28" t="str">
        <f>'MP Calculations'!D113</f>
        <v>2069-70</v>
      </c>
      <c r="D86" s="45" t="str">
        <f>IF(LEFT($C86,4)*1&lt;LEFT('General inputs'!$I$16,4)+'General inputs'!$H$38,SUM(G86,J86,M86,P86,S86,V86,Y86,AB86,AE86,AH86),"")</f>
        <v/>
      </c>
      <c r="F86" s="39"/>
      <c r="G86" s="45">
        <f t="shared" si="21"/>
        <v>0</v>
      </c>
      <c r="I86" s="39"/>
      <c r="J86" s="45">
        <f t="shared" si="22"/>
        <v>0</v>
      </c>
      <c r="L86" s="39"/>
      <c r="M86" s="45">
        <f t="shared" si="23"/>
        <v>0</v>
      </c>
      <c r="O86" s="39"/>
      <c r="P86" s="45">
        <f t="shared" si="24"/>
        <v>0</v>
      </c>
      <c r="R86" s="39"/>
      <c r="S86" s="45">
        <f t="shared" si="25"/>
        <v>0</v>
      </c>
      <c r="U86" s="39"/>
      <c r="V86" s="45">
        <f t="shared" si="26"/>
        <v>0</v>
      </c>
      <c r="X86" s="39"/>
      <c r="Y86" s="45">
        <f t="shared" si="27"/>
        <v>0</v>
      </c>
      <c r="AA86" s="39"/>
      <c r="AB86" s="45">
        <f t="shared" si="28"/>
        <v>0</v>
      </c>
      <c r="AD86" s="39"/>
      <c r="AE86" s="45">
        <f t="shared" si="29"/>
        <v>0</v>
      </c>
      <c r="AG86" s="39"/>
      <c r="AH86" s="45">
        <f t="shared" si="30"/>
        <v>0</v>
      </c>
    </row>
    <row r="87" spans="3:34" x14ac:dyDescent="0.25">
      <c r="C87" s="28" t="str">
        <f>'MP Calculations'!D114</f>
        <v>2070-71</v>
      </c>
      <c r="D87" s="45" t="str">
        <f>IF(LEFT($C87,4)*1&lt;LEFT('General inputs'!$I$16,4)+'General inputs'!$H$38,SUM(G87,J87,M87,P87,S87,V87,Y87,AB87,AE87,AH87),"")</f>
        <v/>
      </c>
      <c r="F87" s="39"/>
      <c r="G87" s="45">
        <f t="shared" si="21"/>
        <v>0</v>
      </c>
      <c r="I87" s="39"/>
      <c r="J87" s="45">
        <f t="shared" si="22"/>
        <v>0</v>
      </c>
      <c r="L87" s="39"/>
      <c r="M87" s="45">
        <f t="shared" si="23"/>
        <v>0</v>
      </c>
      <c r="O87" s="39"/>
      <c r="P87" s="45">
        <f t="shared" si="24"/>
        <v>0</v>
      </c>
      <c r="R87" s="39"/>
      <c r="S87" s="45">
        <f t="shared" si="25"/>
        <v>0</v>
      </c>
      <c r="U87" s="39"/>
      <c r="V87" s="45">
        <f t="shared" si="26"/>
        <v>0</v>
      </c>
      <c r="X87" s="39"/>
      <c r="Y87" s="45">
        <f t="shared" si="27"/>
        <v>0</v>
      </c>
      <c r="AA87" s="39"/>
      <c r="AB87" s="45">
        <f t="shared" si="28"/>
        <v>0</v>
      </c>
      <c r="AD87" s="39"/>
      <c r="AE87" s="45">
        <f t="shared" si="29"/>
        <v>0</v>
      </c>
      <c r="AG87" s="39"/>
      <c r="AH87" s="45">
        <f t="shared" si="30"/>
        <v>0</v>
      </c>
    </row>
    <row r="88" spans="3:34" x14ac:dyDescent="0.25">
      <c r="C88" s="28" t="str">
        <f>'MP Calculations'!D115</f>
        <v>2071-72</v>
      </c>
      <c r="D88" s="45" t="str">
        <f>IF(LEFT($C88,4)*1&lt;LEFT('General inputs'!$I$16,4)+'General inputs'!$H$38,SUM(G88,J88,M88,P88,S88,V88,Y88,AB88,AE88,AH88),"")</f>
        <v/>
      </c>
      <c r="F88" s="39"/>
      <c r="G88" s="45">
        <f t="shared" si="21"/>
        <v>0</v>
      </c>
      <c r="I88" s="39"/>
      <c r="J88" s="45">
        <f t="shared" si="22"/>
        <v>0</v>
      </c>
      <c r="L88" s="39"/>
      <c r="M88" s="45">
        <f t="shared" si="23"/>
        <v>0</v>
      </c>
      <c r="O88" s="39"/>
      <c r="P88" s="45">
        <f t="shared" si="24"/>
        <v>0</v>
      </c>
      <c r="R88" s="39"/>
      <c r="S88" s="45">
        <f t="shared" si="25"/>
        <v>0</v>
      </c>
      <c r="U88" s="39"/>
      <c r="V88" s="45">
        <f t="shared" si="26"/>
        <v>0</v>
      </c>
      <c r="X88" s="39"/>
      <c r="Y88" s="45">
        <f t="shared" si="27"/>
        <v>0</v>
      </c>
      <c r="AA88" s="39"/>
      <c r="AB88" s="45">
        <f t="shared" si="28"/>
        <v>0</v>
      </c>
      <c r="AD88" s="39"/>
      <c r="AE88" s="45">
        <f t="shared" si="29"/>
        <v>0</v>
      </c>
      <c r="AG88" s="39"/>
      <c r="AH88" s="45">
        <f t="shared" si="30"/>
        <v>0</v>
      </c>
    </row>
    <row r="89" spans="3:34" x14ac:dyDescent="0.25">
      <c r="C89" s="28" t="str">
        <f>'MP Calculations'!D116</f>
        <v>2072-73</v>
      </c>
      <c r="D89" s="45" t="str">
        <f>IF(LEFT($C89,4)*1&lt;LEFT('General inputs'!$I$16,4)+'General inputs'!$H$38,SUM(G89,J89,M89,P89,S89,V89,Y89,AB89,AE89,AH89),"")</f>
        <v/>
      </c>
      <c r="F89" s="39"/>
      <c r="G89" s="45">
        <f t="shared" si="21"/>
        <v>0</v>
      </c>
      <c r="I89" s="39"/>
      <c r="J89" s="45">
        <f t="shared" si="22"/>
        <v>0</v>
      </c>
      <c r="L89" s="39"/>
      <c r="M89" s="45">
        <f t="shared" si="23"/>
        <v>0</v>
      </c>
      <c r="O89" s="39"/>
      <c r="P89" s="45">
        <f t="shared" si="24"/>
        <v>0</v>
      </c>
      <c r="R89" s="39"/>
      <c r="S89" s="45">
        <f t="shared" si="25"/>
        <v>0</v>
      </c>
      <c r="U89" s="39"/>
      <c r="V89" s="45">
        <f t="shared" si="26"/>
        <v>0</v>
      </c>
      <c r="X89" s="39"/>
      <c r="Y89" s="45">
        <f t="shared" si="27"/>
        <v>0</v>
      </c>
      <c r="AA89" s="39"/>
      <c r="AB89" s="45">
        <f t="shared" si="28"/>
        <v>0</v>
      </c>
      <c r="AD89" s="39"/>
      <c r="AE89" s="45">
        <f t="shared" si="29"/>
        <v>0</v>
      </c>
      <c r="AG89" s="39"/>
      <c r="AH89" s="45">
        <f t="shared" si="30"/>
        <v>0</v>
      </c>
    </row>
    <row r="90" spans="3:34" x14ac:dyDescent="0.25">
      <c r="C90" s="28" t="str">
        <f>'MP Calculations'!D117</f>
        <v>2073-74</v>
      </c>
      <c r="D90" s="45" t="str">
        <f>IF(LEFT($C90,4)*1&lt;LEFT('General inputs'!$I$16,4)+'General inputs'!$H$38,SUM(G90,J90,M90,P90,S90,V90,Y90,AB90,AE90,AH90),"")</f>
        <v/>
      </c>
      <c r="F90" s="39"/>
      <c r="G90" s="45">
        <f t="shared" si="21"/>
        <v>0</v>
      </c>
      <c r="I90" s="39"/>
      <c r="J90" s="45">
        <f t="shared" si="22"/>
        <v>0</v>
      </c>
      <c r="L90" s="39"/>
      <c r="M90" s="45">
        <f t="shared" si="23"/>
        <v>0</v>
      </c>
      <c r="O90" s="39"/>
      <c r="P90" s="45">
        <f t="shared" si="24"/>
        <v>0</v>
      </c>
      <c r="R90" s="39"/>
      <c r="S90" s="45">
        <f t="shared" si="25"/>
        <v>0</v>
      </c>
      <c r="U90" s="39"/>
      <c r="V90" s="45">
        <f t="shared" si="26"/>
        <v>0</v>
      </c>
      <c r="X90" s="39"/>
      <c r="Y90" s="45">
        <f t="shared" si="27"/>
        <v>0</v>
      </c>
      <c r="AA90" s="39"/>
      <c r="AB90" s="45">
        <f t="shared" si="28"/>
        <v>0</v>
      </c>
      <c r="AD90" s="39"/>
      <c r="AE90" s="45">
        <f t="shared" si="29"/>
        <v>0</v>
      </c>
      <c r="AG90" s="39"/>
      <c r="AH90" s="45">
        <f t="shared" si="30"/>
        <v>0</v>
      </c>
    </row>
    <row r="91" spans="3:34" x14ac:dyDescent="0.25">
      <c r="C91" s="28" t="str">
        <f>'MP Calculations'!D118</f>
        <v>2074-75</v>
      </c>
      <c r="D91" s="45" t="str">
        <f>IF(LEFT($C91,4)*1&lt;LEFT('General inputs'!$I$16,4)+'General inputs'!$H$38,SUM(G91,J91,M91,P91,S91,V91,Y91,AB91,AE91,AH91),"")</f>
        <v/>
      </c>
      <c r="F91" s="39"/>
      <c r="G91" s="45">
        <f t="shared" si="21"/>
        <v>0</v>
      </c>
      <c r="I91" s="39"/>
      <c r="J91" s="45">
        <f t="shared" si="22"/>
        <v>0</v>
      </c>
      <c r="L91" s="39"/>
      <c r="M91" s="45">
        <f t="shared" si="23"/>
        <v>0</v>
      </c>
      <c r="O91" s="39"/>
      <c r="P91" s="45">
        <f t="shared" si="24"/>
        <v>0</v>
      </c>
      <c r="R91" s="39"/>
      <c r="S91" s="45">
        <f t="shared" si="25"/>
        <v>0</v>
      </c>
      <c r="U91" s="39"/>
      <c r="V91" s="45">
        <f t="shared" si="26"/>
        <v>0</v>
      </c>
      <c r="X91" s="39"/>
      <c r="Y91" s="45">
        <f t="shared" si="27"/>
        <v>0</v>
      </c>
      <c r="AA91" s="39"/>
      <c r="AB91" s="45">
        <f t="shared" si="28"/>
        <v>0</v>
      </c>
      <c r="AD91" s="39"/>
      <c r="AE91" s="45">
        <f t="shared" si="29"/>
        <v>0</v>
      </c>
      <c r="AG91" s="39"/>
      <c r="AH91" s="45">
        <f t="shared" si="30"/>
        <v>0</v>
      </c>
    </row>
    <row r="92" spans="3:34" x14ac:dyDescent="0.25">
      <c r="C92" s="28" t="str">
        <f>'MP Calculations'!D119</f>
        <v>2075-76</v>
      </c>
      <c r="D92" s="45" t="str">
        <f>IF(LEFT($C92,4)*1&lt;LEFT('General inputs'!$I$16,4)+'General inputs'!$H$38,SUM(G92,J92,M92,P92,S92,V92,Y92,AB92,AE92,AH92),"")</f>
        <v/>
      </c>
      <c r="F92" s="39"/>
      <c r="G92" s="45">
        <f t="shared" si="21"/>
        <v>0</v>
      </c>
      <c r="I92" s="39"/>
      <c r="J92" s="45">
        <f t="shared" si="22"/>
        <v>0</v>
      </c>
      <c r="L92" s="39"/>
      <c r="M92" s="45">
        <f t="shared" si="23"/>
        <v>0</v>
      </c>
      <c r="O92" s="39"/>
      <c r="P92" s="45">
        <f t="shared" si="24"/>
        <v>0</v>
      </c>
      <c r="R92" s="39"/>
      <c r="S92" s="45">
        <f t="shared" si="25"/>
        <v>0</v>
      </c>
      <c r="U92" s="39"/>
      <c r="V92" s="45">
        <f t="shared" si="26"/>
        <v>0</v>
      </c>
      <c r="X92" s="39"/>
      <c r="Y92" s="45">
        <f t="shared" si="27"/>
        <v>0</v>
      </c>
      <c r="AA92" s="39"/>
      <c r="AB92" s="45">
        <f t="shared" si="28"/>
        <v>0</v>
      </c>
      <c r="AD92" s="39"/>
      <c r="AE92" s="45">
        <f t="shared" si="29"/>
        <v>0</v>
      </c>
      <c r="AG92" s="39"/>
      <c r="AH92" s="45">
        <f t="shared" si="30"/>
        <v>0</v>
      </c>
    </row>
    <row r="93" spans="3:34" x14ac:dyDescent="0.25">
      <c r="C93" s="28" t="str">
        <f>'MP Calculations'!D120</f>
        <v>2076-77</v>
      </c>
      <c r="D93" s="45" t="str">
        <f>IF(LEFT($C93,4)*1&lt;LEFT('General inputs'!$I$16,4)+'General inputs'!$H$38,SUM(G93,J93,M93,P93,S93,V93,Y93,AB93,AE93,AH93),"")</f>
        <v/>
      </c>
      <c r="F93" s="39"/>
      <c r="G93" s="45">
        <f t="shared" si="21"/>
        <v>0</v>
      </c>
      <c r="I93" s="39"/>
      <c r="J93" s="45">
        <f t="shared" si="22"/>
        <v>0</v>
      </c>
      <c r="L93" s="39"/>
      <c r="M93" s="45">
        <f t="shared" si="23"/>
        <v>0</v>
      </c>
      <c r="O93" s="39"/>
      <c r="P93" s="45">
        <f t="shared" si="24"/>
        <v>0</v>
      </c>
      <c r="R93" s="39"/>
      <c r="S93" s="45">
        <f t="shared" si="25"/>
        <v>0</v>
      </c>
      <c r="U93" s="39"/>
      <c r="V93" s="45">
        <f t="shared" si="26"/>
        <v>0</v>
      </c>
      <c r="X93" s="39"/>
      <c r="Y93" s="45">
        <f t="shared" si="27"/>
        <v>0</v>
      </c>
      <c r="AA93" s="39"/>
      <c r="AB93" s="45">
        <f t="shared" si="28"/>
        <v>0</v>
      </c>
      <c r="AD93" s="39"/>
      <c r="AE93" s="45">
        <f t="shared" si="29"/>
        <v>0</v>
      </c>
      <c r="AG93" s="39"/>
      <c r="AH93" s="45">
        <f t="shared" si="30"/>
        <v>0</v>
      </c>
    </row>
    <row r="94" spans="3:34" x14ac:dyDescent="0.25">
      <c r="C94" s="28" t="str">
        <f>'MP Calculations'!D121</f>
        <v>2077-78</v>
      </c>
      <c r="D94" s="45" t="str">
        <f>IF(LEFT($C94,4)*1&lt;LEFT('General inputs'!$I$16,4)+'General inputs'!$H$38,SUM(G94,J94,M94,P94,S94,V94,Y94,AB94,AE94,AH94),"")</f>
        <v/>
      </c>
      <c r="F94" s="39"/>
      <c r="G94" s="45">
        <f t="shared" si="21"/>
        <v>0</v>
      </c>
      <c r="I94" s="39"/>
      <c r="J94" s="45">
        <f t="shared" si="22"/>
        <v>0</v>
      </c>
      <c r="L94" s="39"/>
      <c r="M94" s="45">
        <f t="shared" si="23"/>
        <v>0</v>
      </c>
      <c r="O94" s="39"/>
      <c r="P94" s="45">
        <f t="shared" si="24"/>
        <v>0</v>
      </c>
      <c r="R94" s="39"/>
      <c r="S94" s="45">
        <f t="shared" si="25"/>
        <v>0</v>
      </c>
      <c r="U94" s="39"/>
      <c r="V94" s="45">
        <f t="shared" si="26"/>
        <v>0</v>
      </c>
      <c r="X94" s="39"/>
      <c r="Y94" s="45">
        <f t="shared" si="27"/>
        <v>0</v>
      </c>
      <c r="AA94" s="39"/>
      <c r="AB94" s="45">
        <f t="shared" si="28"/>
        <v>0</v>
      </c>
      <c r="AD94" s="39"/>
      <c r="AE94" s="45">
        <f t="shared" si="29"/>
        <v>0</v>
      </c>
      <c r="AG94" s="39"/>
      <c r="AH94" s="45">
        <f t="shared" si="30"/>
        <v>0</v>
      </c>
    </row>
    <row r="95" spans="3:34" x14ac:dyDescent="0.25">
      <c r="C95" s="28" t="str">
        <f>'MP Calculations'!D122</f>
        <v>2078-79</v>
      </c>
      <c r="D95" s="45" t="str">
        <f>IF(LEFT($C95,4)*1&lt;LEFT('General inputs'!$I$16,4)+'General inputs'!$H$38,SUM(G95,J95,M95,P95,S95,V95,Y95,AB95,AE95,AH95),"")</f>
        <v/>
      </c>
      <c r="F95" s="39"/>
      <c r="G95" s="45">
        <f t="shared" si="21"/>
        <v>0</v>
      </c>
      <c r="I95" s="39"/>
      <c r="J95" s="45">
        <f t="shared" si="22"/>
        <v>0</v>
      </c>
      <c r="L95" s="39"/>
      <c r="M95" s="45">
        <f t="shared" si="23"/>
        <v>0</v>
      </c>
      <c r="O95" s="39"/>
      <c r="P95" s="45">
        <f t="shared" si="24"/>
        <v>0</v>
      </c>
      <c r="R95" s="39"/>
      <c r="S95" s="45">
        <f t="shared" si="25"/>
        <v>0</v>
      </c>
      <c r="U95" s="39"/>
      <c r="V95" s="45">
        <f t="shared" si="26"/>
        <v>0</v>
      </c>
      <c r="X95" s="39"/>
      <c r="Y95" s="45">
        <f t="shared" si="27"/>
        <v>0</v>
      </c>
      <c r="AA95" s="39"/>
      <c r="AB95" s="45">
        <f t="shared" si="28"/>
        <v>0</v>
      </c>
      <c r="AD95" s="39"/>
      <c r="AE95" s="45">
        <f t="shared" si="29"/>
        <v>0</v>
      </c>
      <c r="AG95" s="39"/>
      <c r="AH95" s="45">
        <f t="shared" si="30"/>
        <v>0</v>
      </c>
    </row>
    <row r="96" spans="3:34" x14ac:dyDescent="0.25">
      <c r="C96" s="28" t="str">
        <f>'MP Calculations'!D123</f>
        <v>2079-80</v>
      </c>
      <c r="D96" s="45" t="str">
        <f>IF(LEFT($C96,4)*1&lt;LEFT('General inputs'!$I$16,4)+'General inputs'!$H$38,SUM(G96,J96,M96,P96,S96,V96,Y96,AB96,AE96,AH96),"")</f>
        <v/>
      </c>
      <c r="F96" s="39"/>
      <c r="G96" s="45">
        <f t="shared" si="21"/>
        <v>0</v>
      </c>
      <c r="I96" s="39"/>
      <c r="J96" s="45">
        <f t="shared" si="22"/>
        <v>0</v>
      </c>
      <c r="L96" s="39"/>
      <c r="M96" s="45">
        <f t="shared" si="23"/>
        <v>0</v>
      </c>
      <c r="O96" s="39"/>
      <c r="P96" s="45">
        <f t="shared" si="24"/>
        <v>0</v>
      </c>
      <c r="R96" s="39"/>
      <c r="S96" s="45">
        <f t="shared" si="25"/>
        <v>0</v>
      </c>
      <c r="U96" s="39"/>
      <c r="V96" s="45">
        <f t="shared" si="26"/>
        <v>0</v>
      </c>
      <c r="X96" s="39"/>
      <c r="Y96" s="45">
        <f t="shared" si="27"/>
        <v>0</v>
      </c>
      <c r="AA96" s="39"/>
      <c r="AB96" s="45">
        <f t="shared" si="28"/>
        <v>0</v>
      </c>
      <c r="AD96" s="39"/>
      <c r="AE96" s="45">
        <f t="shared" si="29"/>
        <v>0</v>
      </c>
      <c r="AG96" s="39"/>
      <c r="AH96" s="45">
        <f t="shared" si="30"/>
        <v>0</v>
      </c>
    </row>
    <row r="97" spans="3:34" x14ac:dyDescent="0.25">
      <c r="C97" s="28" t="str">
        <f>'MP Calculations'!D124</f>
        <v>2080-81</v>
      </c>
      <c r="D97" s="45" t="str">
        <f>IF(LEFT($C97,4)*1&lt;LEFT('General inputs'!$I$16,4)+'General inputs'!$H$38,SUM(G97,J97,M97,P97,S97,V97,Y97,AB97,AE97,AH97),"")</f>
        <v/>
      </c>
      <c r="F97" s="39"/>
      <c r="G97" s="45">
        <f t="shared" si="21"/>
        <v>0</v>
      </c>
      <c r="I97" s="39"/>
      <c r="J97" s="45">
        <f t="shared" si="22"/>
        <v>0</v>
      </c>
      <c r="L97" s="39"/>
      <c r="M97" s="45">
        <f t="shared" si="23"/>
        <v>0</v>
      </c>
      <c r="O97" s="39"/>
      <c r="P97" s="45">
        <f t="shared" si="24"/>
        <v>0</v>
      </c>
      <c r="R97" s="39"/>
      <c r="S97" s="45">
        <f t="shared" si="25"/>
        <v>0</v>
      </c>
      <c r="U97" s="39"/>
      <c r="V97" s="45">
        <f t="shared" si="26"/>
        <v>0</v>
      </c>
      <c r="X97" s="39"/>
      <c r="Y97" s="45">
        <f t="shared" si="27"/>
        <v>0</v>
      </c>
      <c r="AA97" s="39"/>
      <c r="AB97" s="45">
        <f t="shared" si="28"/>
        <v>0</v>
      </c>
      <c r="AD97" s="39"/>
      <c r="AE97" s="45">
        <f t="shared" si="29"/>
        <v>0</v>
      </c>
      <c r="AG97" s="39"/>
      <c r="AH97" s="45">
        <f t="shared" si="30"/>
        <v>0</v>
      </c>
    </row>
    <row r="98" spans="3:34" x14ac:dyDescent="0.25">
      <c r="C98" s="28" t="str">
        <f>'MP Calculations'!D125</f>
        <v>2081-82</v>
      </c>
      <c r="D98" s="45" t="str">
        <f>IF(LEFT($C98,4)*1&lt;LEFT('General inputs'!$I$16,4)+'General inputs'!$H$38,SUM(G98,J98,M98,P98,S98,V98,Y98,AB98,AE98,AH98),"")</f>
        <v/>
      </c>
      <c r="F98" s="39"/>
      <c r="G98" s="45">
        <f t="shared" si="21"/>
        <v>0</v>
      </c>
      <c r="I98" s="39"/>
      <c r="J98" s="45">
        <f t="shared" si="22"/>
        <v>0</v>
      </c>
      <c r="L98" s="39"/>
      <c r="M98" s="45">
        <f t="shared" si="23"/>
        <v>0</v>
      </c>
      <c r="O98" s="39"/>
      <c r="P98" s="45">
        <f t="shared" si="24"/>
        <v>0</v>
      </c>
      <c r="R98" s="39"/>
      <c r="S98" s="45">
        <f t="shared" si="25"/>
        <v>0</v>
      </c>
      <c r="U98" s="39"/>
      <c r="V98" s="45">
        <f t="shared" si="26"/>
        <v>0</v>
      </c>
      <c r="X98" s="39"/>
      <c r="Y98" s="45">
        <f t="shared" si="27"/>
        <v>0</v>
      </c>
      <c r="AA98" s="39"/>
      <c r="AB98" s="45">
        <f t="shared" si="28"/>
        <v>0</v>
      </c>
      <c r="AD98" s="39"/>
      <c r="AE98" s="45">
        <f t="shared" si="29"/>
        <v>0</v>
      </c>
      <c r="AG98" s="39"/>
      <c r="AH98" s="45">
        <f t="shared" si="30"/>
        <v>0</v>
      </c>
    </row>
    <row r="99" spans="3:34" x14ac:dyDescent="0.25">
      <c r="C99" s="28" t="str">
        <f>'MP Calculations'!D126</f>
        <v>2082-83</v>
      </c>
      <c r="D99" s="45" t="str">
        <f>IF(LEFT($C99,4)*1&lt;LEFT('General inputs'!$I$16,4)+'General inputs'!$H$38,SUM(G99,J99,M99,P99,S99,V99,Y99,AB99,AE99,AH99),"")</f>
        <v/>
      </c>
      <c r="F99" s="39"/>
      <c r="G99" s="45">
        <f t="shared" si="21"/>
        <v>0</v>
      </c>
      <c r="I99" s="39"/>
      <c r="J99" s="45">
        <f t="shared" si="22"/>
        <v>0</v>
      </c>
      <c r="L99" s="39"/>
      <c r="M99" s="45">
        <f t="shared" si="23"/>
        <v>0</v>
      </c>
      <c r="O99" s="39"/>
      <c r="P99" s="45">
        <f t="shared" si="24"/>
        <v>0</v>
      </c>
      <c r="R99" s="39"/>
      <c r="S99" s="45">
        <f t="shared" si="25"/>
        <v>0</v>
      </c>
      <c r="U99" s="39"/>
      <c r="V99" s="45">
        <f t="shared" si="26"/>
        <v>0</v>
      </c>
      <c r="X99" s="39"/>
      <c r="Y99" s="45">
        <f t="shared" si="27"/>
        <v>0</v>
      </c>
      <c r="AA99" s="39"/>
      <c r="AB99" s="45">
        <f t="shared" si="28"/>
        <v>0</v>
      </c>
      <c r="AD99" s="39"/>
      <c r="AE99" s="45">
        <f t="shared" si="29"/>
        <v>0</v>
      </c>
      <c r="AG99" s="39"/>
      <c r="AH99" s="45">
        <f t="shared" si="30"/>
        <v>0</v>
      </c>
    </row>
    <row r="100" spans="3:34" x14ac:dyDescent="0.25">
      <c r="C100" s="28" t="str">
        <f>'MP Calculations'!D127</f>
        <v>2083-84</v>
      </c>
      <c r="D100" s="45" t="str">
        <f>IF(LEFT($C100,4)*1&lt;LEFT('General inputs'!$I$16,4)+'General inputs'!$H$38,SUM(G100,J100,M100,P100,S100,V100,Y100,AB100,AE100,AH100),"")</f>
        <v/>
      </c>
      <c r="F100" s="39"/>
      <c r="G100" s="45">
        <f t="shared" si="21"/>
        <v>0</v>
      </c>
      <c r="I100" s="39"/>
      <c r="J100" s="45">
        <f t="shared" si="22"/>
        <v>0</v>
      </c>
      <c r="L100" s="39"/>
      <c r="M100" s="45">
        <f t="shared" si="23"/>
        <v>0</v>
      </c>
      <c r="O100" s="39"/>
      <c r="P100" s="45">
        <f t="shared" si="24"/>
        <v>0</v>
      </c>
      <c r="R100" s="39"/>
      <c r="S100" s="45">
        <f t="shared" si="25"/>
        <v>0</v>
      </c>
      <c r="U100" s="39"/>
      <c r="V100" s="45">
        <f t="shared" si="26"/>
        <v>0</v>
      </c>
      <c r="X100" s="39"/>
      <c r="Y100" s="45">
        <f t="shared" si="27"/>
        <v>0</v>
      </c>
      <c r="AA100" s="39"/>
      <c r="AB100" s="45">
        <f t="shared" si="28"/>
        <v>0</v>
      </c>
      <c r="AD100" s="39"/>
      <c r="AE100" s="45">
        <f t="shared" si="29"/>
        <v>0</v>
      </c>
      <c r="AG100" s="39"/>
      <c r="AH100" s="45">
        <f t="shared" si="30"/>
        <v>0</v>
      </c>
    </row>
    <row r="101" spans="3:34" x14ac:dyDescent="0.25">
      <c r="C101" s="28" t="str">
        <f>'MP Calculations'!D128</f>
        <v>2084-85</v>
      </c>
      <c r="D101" s="45" t="str">
        <f>IF(LEFT($C101,4)*1&lt;LEFT('General inputs'!$I$16,4)+'General inputs'!$H$38,SUM(G101,J101,M101,P101,S101,V101,Y101,AB101,AE101,AH101),"")</f>
        <v/>
      </c>
      <c r="F101" s="39"/>
      <c r="G101" s="45">
        <f t="shared" si="21"/>
        <v>0</v>
      </c>
      <c r="I101" s="39"/>
      <c r="J101" s="45">
        <f t="shared" si="22"/>
        <v>0</v>
      </c>
      <c r="L101" s="39"/>
      <c r="M101" s="45">
        <f t="shared" si="23"/>
        <v>0</v>
      </c>
      <c r="O101" s="39"/>
      <c r="P101" s="45">
        <f t="shared" si="24"/>
        <v>0</v>
      </c>
      <c r="R101" s="39"/>
      <c r="S101" s="45">
        <f t="shared" si="25"/>
        <v>0</v>
      </c>
      <c r="U101" s="39"/>
      <c r="V101" s="45">
        <f t="shared" si="26"/>
        <v>0</v>
      </c>
      <c r="X101" s="39"/>
      <c r="Y101" s="45">
        <f t="shared" si="27"/>
        <v>0</v>
      </c>
      <c r="AA101" s="39"/>
      <c r="AB101" s="45">
        <f t="shared" si="28"/>
        <v>0</v>
      </c>
      <c r="AD101" s="39"/>
      <c r="AE101" s="45">
        <f t="shared" si="29"/>
        <v>0</v>
      </c>
      <c r="AG101" s="39"/>
      <c r="AH101" s="45">
        <f t="shared" si="30"/>
        <v>0</v>
      </c>
    </row>
    <row r="102" spans="3:34" x14ac:dyDescent="0.25">
      <c r="C102" s="28" t="str">
        <f>'MP Calculations'!D129</f>
        <v>2085-86</v>
      </c>
      <c r="D102" s="45" t="str">
        <f>IF(LEFT($C102,4)*1&lt;LEFT('General inputs'!$I$16,4)+'General inputs'!$H$38,SUM(G102,J102,M102,P102,S102,V102,Y102,AB102,AE102,AH102),"")</f>
        <v/>
      </c>
      <c r="F102" s="39"/>
      <c r="G102" s="45">
        <f t="shared" si="21"/>
        <v>0</v>
      </c>
      <c r="I102" s="39"/>
      <c r="J102" s="45">
        <f t="shared" si="22"/>
        <v>0</v>
      </c>
      <c r="L102" s="39"/>
      <c r="M102" s="45">
        <f t="shared" si="23"/>
        <v>0</v>
      </c>
      <c r="O102" s="39"/>
      <c r="P102" s="45">
        <f t="shared" si="24"/>
        <v>0</v>
      </c>
      <c r="R102" s="39"/>
      <c r="S102" s="45">
        <f t="shared" si="25"/>
        <v>0</v>
      </c>
      <c r="U102" s="39"/>
      <c r="V102" s="45">
        <f t="shared" si="26"/>
        <v>0</v>
      </c>
      <c r="X102" s="39"/>
      <c r="Y102" s="45">
        <f t="shared" si="27"/>
        <v>0</v>
      </c>
      <c r="AA102" s="39"/>
      <c r="AB102" s="45">
        <f t="shared" si="28"/>
        <v>0</v>
      </c>
      <c r="AD102" s="39"/>
      <c r="AE102" s="45">
        <f t="shared" si="29"/>
        <v>0</v>
      </c>
      <c r="AG102" s="39"/>
      <c r="AH102" s="45">
        <f t="shared" si="30"/>
        <v>0</v>
      </c>
    </row>
    <row r="103" spans="3:34" x14ac:dyDescent="0.25">
      <c r="D103" s="46"/>
      <c r="F103" s="46"/>
      <c r="G103" s="46"/>
      <c r="I103" s="46"/>
      <c r="J103" s="46"/>
      <c r="L103" s="46"/>
      <c r="M103" s="46"/>
      <c r="O103" s="46"/>
      <c r="P103" s="46"/>
      <c r="R103" s="46"/>
      <c r="S103" s="46"/>
      <c r="U103" s="46"/>
      <c r="V103" s="46"/>
      <c r="X103" s="46"/>
      <c r="Y103" s="46"/>
      <c r="AA103" s="46"/>
      <c r="AB103" s="46"/>
      <c r="AD103" s="46"/>
      <c r="AE103" s="46"/>
      <c r="AG103" s="46"/>
      <c r="AH103" s="46"/>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xm:sqref>
        </x14:conditionalFormatting>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F12:F102 I12:I102 L12:L102 O12:O102 R12:R102 U12:U102 X12:X102 AA12:AA102 AD12:AD102 AG12:AG102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bafb9e-edd8-4257-aa77-c44d8203b3a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3AEA225903A1449A2657172735342A" ma:contentTypeVersion="13" ma:contentTypeDescription="Create a new document." ma:contentTypeScope="" ma:versionID="1ac7b63b60860e0e6c12ac6f60595173">
  <xsd:schema xmlns:xsd="http://www.w3.org/2001/XMLSchema" xmlns:xs="http://www.w3.org/2001/XMLSchema" xmlns:p="http://schemas.microsoft.com/office/2006/metadata/properties" xmlns:ns2="e0bafb9e-edd8-4257-aa77-c44d8203b3ae" xmlns:ns3="b41d29ab-032d-46d9-8900-82d7449b7ce7" targetNamespace="http://schemas.microsoft.com/office/2006/metadata/properties" ma:root="true" ma:fieldsID="e517a470b6f02004096eab70d706ef6e" ns2:_="" ns3:_="">
    <xsd:import namespace="e0bafb9e-edd8-4257-aa77-c44d8203b3ae"/>
    <xsd:import namespace="b41d29ab-032d-46d9-8900-82d7449b7ce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bafb9e-edd8-4257-aa77-c44d8203b3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0f4a51-7fd3-467e-82ba-3ccda4d2c0f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29ab-032d-46d9-8900-82d7449b7ce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2686B-109C-4C2E-9EB9-58A7DA8EFFF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41d29ab-032d-46d9-8900-82d7449b7ce7"/>
    <ds:schemaRef ds:uri="http://purl.org/dc/terms/"/>
    <ds:schemaRef ds:uri="e0bafb9e-edd8-4257-aa77-c44d8203b3ae"/>
    <ds:schemaRef ds:uri="http://www.w3.org/XML/1998/namespace"/>
    <ds:schemaRef ds:uri="http://purl.org/dc/dcmitype/"/>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950BCEBD-5BF4-4721-834B-0D2FC897C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bafb9e-edd8-4257-aa77-c44d8203b3ae"/>
    <ds:schemaRef ds:uri="b41d29ab-032d-46d9-8900-82d7449b7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2025-03-17T02:50:58Z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0x010100683AEA225903A1449A2657172735342A</vt:lpwstr>
  </property>
  <property fmtid="{D5CDD505-2E9C-101B-9397-08002B2CF9AE}" pid="3" name="MediaServiceImageTags">
    <vt:lpwstr/>
  </property>
</Properties>
</file>