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harts/chart1.xml" ContentType="application/vnd.openxmlformats-officedocument.drawingml.chart+xml"/>
  <Override PartName="/xl/drawings/drawing9.xml" ContentType="application/vnd.openxmlformats-officedocument.drawing+xml"/>
  <Override PartName="/xl/charts/chart2.xml" ContentType="application/vnd.openxmlformats-officedocument.drawingml.chart+xml"/>
  <Override PartName="/xl/drawings/drawing10.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iC6/JQDlefVoRGDcn1+51MEy5H6qHFvJMYChsMuWWC3EYnP77miKUNKF1IowGuOMl96xrTSuNqRy/P92pJgDfw==" workbookSaltValue="AHo2WVSwedVLU/BiWOLR2w==" workbookSpinCount="100000" lockStructure="1"/>
  <bookViews>
    <workbookView xWindow="0" yWindow="0" windowWidth="10890" windowHeight="9945"/>
  </bookViews>
  <sheets>
    <sheet name="Cover Sheet" sheetId="4" r:id="rId1"/>
    <sheet name="Scenario Assumptions" sheetId="7" r:id="rId2"/>
    <sheet name="Scenario Layouts" sheetId="8" r:id="rId3"/>
    <sheet name="Benchmark Unit Rates" sheetId="1" r:id="rId4"/>
    <sheet name="Example Scenarios" sheetId="2" r:id="rId5"/>
    <sheet name="Operating Cost Summary" sheetId="9" r:id="rId6"/>
    <sheet name="Renewal Costs" sheetId="15" r:id="rId7"/>
    <sheet name="Lifecycle Operating Costs" sheetId="11" r:id="rId8"/>
    <sheet name="Gravity Sewer Main" sheetId="13" r:id="rId9"/>
    <sheet name="Pressure Sewer Main" sheetId="14" r:id="rId10"/>
    <sheet name="Water Main" sheetId="16" r:id="rId11"/>
    <sheet name="Name Ranges" sheetId="3" state="hidden" r:id="rId12"/>
  </sheets>
  <externalReferences>
    <externalReference r:id="rId13"/>
    <externalReference r:id="rId14"/>
    <externalReference r:id="rId15"/>
  </externalReferences>
  <definedNames>
    <definedName name="_xlnm._FilterDatabase" localSheetId="3" hidden="1">'Benchmark Unit Rates'!$D$10:$O$106</definedName>
    <definedName name="_xlnm.Print_Area" localSheetId="3">'Benchmark Unit Rates'!$D$10:$O$96</definedName>
    <definedName name="_xlnm.Print_Area" localSheetId="0">'Cover Sheet'!$A$1:$C$20</definedName>
    <definedName name="_xlnm.Print_Area" localSheetId="4">'Example Scenarios'!$F$1:$L$113</definedName>
    <definedName name="Service_Names">'Name Ranges'!$D$7:$D$11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5" i="2" l="1"/>
  <c r="K30" i="2" s="1"/>
  <c r="J104" i="2"/>
  <c r="H104" i="2"/>
  <c r="I31" i="2"/>
  <c r="I30" i="2"/>
  <c r="G31" i="2"/>
  <c r="G30" i="2"/>
  <c r="K31" i="2" l="1"/>
  <c r="L104" i="2" s="1"/>
  <c r="K28" i="2"/>
  <c r="I28" i="2"/>
  <c r="G28" i="2"/>
  <c r="G27" i="2" l="1"/>
  <c r="H14" i="15" l="1"/>
  <c r="H15" i="15"/>
  <c r="H16" i="15"/>
  <c r="H17" i="15"/>
  <c r="H18" i="15"/>
  <c r="H19" i="15"/>
  <c r="H20" i="15"/>
  <c r="H21" i="15"/>
  <c r="H22" i="15"/>
  <c r="H23" i="15"/>
  <c r="H24" i="15"/>
  <c r="H25" i="15"/>
  <c r="H26" i="15"/>
  <c r="H27" i="15"/>
  <c r="A50" i="16" l="1"/>
  <c r="B49" i="16"/>
  <c r="A49" i="16"/>
  <c r="B48" i="16"/>
  <c r="A48" i="16"/>
  <c r="A47" i="16"/>
  <c r="F43" i="16"/>
  <c r="D33" i="16"/>
  <c r="B33" i="16"/>
  <c r="A33" i="16"/>
  <c r="A32" i="16"/>
  <c r="A31" i="16"/>
  <c r="F27" i="16"/>
  <c r="E23" i="16"/>
  <c r="F23" i="16" s="1"/>
  <c r="C23" i="16"/>
  <c r="C33" i="16" s="1"/>
  <c r="A23" i="16"/>
  <c r="F22" i="16"/>
  <c r="D22" i="16"/>
  <c r="D32" i="16" s="1"/>
  <c r="C22" i="16"/>
  <c r="A22" i="16"/>
  <c r="F21" i="16"/>
  <c r="F31" i="16" s="1"/>
  <c r="D21" i="16"/>
  <c r="D31" i="16" s="1"/>
  <c r="A21" i="16"/>
  <c r="A20" i="16"/>
  <c r="A17" i="16"/>
  <c r="A16" i="16"/>
  <c r="A15" i="16"/>
  <c r="A14" i="16"/>
  <c r="B24" i="16" l="1"/>
  <c r="F33" i="16"/>
  <c r="B31" i="16"/>
  <c r="B36" i="16" s="1" a="1"/>
  <c r="C37" i="16" s="1"/>
  <c r="F32" i="16"/>
  <c r="C31" i="16"/>
  <c r="B32" i="16"/>
  <c r="C32" i="16"/>
  <c r="C36" i="16" l="1"/>
  <c r="B36" i="16"/>
  <c r="F36" i="16" s="1" a="1"/>
  <c r="D36" i="16"/>
  <c r="B37" i="16"/>
  <c r="D38" i="16"/>
  <c r="B38" i="16"/>
  <c r="C38" i="16"/>
  <c r="D37" i="16"/>
  <c r="F38" i="16" l="1"/>
  <c r="F42" i="16" s="1"/>
  <c r="F37" i="16"/>
  <c r="F41" i="16" s="1"/>
  <c r="F36" i="16"/>
  <c r="C50" i="16" l="1"/>
  <c r="F40" i="16"/>
  <c r="C49" i="16"/>
  <c r="C48" i="16"/>
  <c r="C47" i="16"/>
  <c r="I110" i="16" l="1"/>
  <c r="I106" i="16"/>
  <c r="I102" i="16"/>
  <c r="I98" i="16"/>
  <c r="I94" i="16"/>
  <c r="I90" i="16"/>
  <c r="I86" i="16"/>
  <c r="I82" i="16"/>
  <c r="I78" i="16"/>
  <c r="I74" i="16"/>
  <c r="I70" i="16"/>
  <c r="I66" i="16"/>
  <c r="I62" i="16"/>
  <c r="I58" i="16"/>
  <c r="I54" i="16"/>
  <c r="I50" i="16"/>
  <c r="I46" i="16"/>
  <c r="I42" i="16"/>
  <c r="I38" i="16"/>
  <c r="I34" i="16"/>
  <c r="I30" i="16"/>
  <c r="I26" i="16"/>
  <c r="I22" i="16"/>
  <c r="I18" i="16"/>
  <c r="I14" i="16"/>
  <c r="I113" i="16"/>
  <c r="I109" i="16"/>
  <c r="I105" i="16"/>
  <c r="I101" i="16"/>
  <c r="I97" i="16"/>
  <c r="I93" i="16"/>
  <c r="I89" i="16"/>
  <c r="I85" i="16"/>
  <c r="I81" i="16"/>
  <c r="I77" i="16"/>
  <c r="I73" i="16"/>
  <c r="I69" i="16"/>
  <c r="I65" i="16"/>
  <c r="I61" i="16"/>
  <c r="I57" i="16"/>
  <c r="I53" i="16"/>
  <c r="I49" i="16"/>
  <c r="I45" i="16"/>
  <c r="I41" i="16"/>
  <c r="I37" i="16"/>
  <c r="I33" i="16"/>
  <c r="I29" i="16"/>
  <c r="I25" i="16"/>
  <c r="I21" i="16"/>
  <c r="I17" i="16"/>
  <c r="I13" i="16"/>
  <c r="I112" i="16"/>
  <c r="I108" i="16"/>
  <c r="I104" i="16"/>
  <c r="I100" i="16"/>
  <c r="I96" i="16"/>
  <c r="I92" i="16"/>
  <c r="I88" i="16"/>
  <c r="I84" i="16"/>
  <c r="I80" i="16"/>
  <c r="I76" i="16"/>
  <c r="I72" i="16"/>
  <c r="I68" i="16"/>
  <c r="I64" i="16"/>
  <c r="I60" i="16"/>
  <c r="I56" i="16"/>
  <c r="I52" i="16"/>
  <c r="I48" i="16"/>
  <c r="I44" i="16"/>
  <c r="I40" i="16"/>
  <c r="I36" i="16"/>
  <c r="I32" i="16"/>
  <c r="I28" i="16"/>
  <c r="I24" i="16"/>
  <c r="I20" i="16"/>
  <c r="I16" i="16"/>
  <c r="I111" i="16"/>
  <c r="I107" i="16"/>
  <c r="I103" i="16"/>
  <c r="I99" i="16"/>
  <c r="I95" i="16"/>
  <c r="I91" i="16"/>
  <c r="I87" i="16"/>
  <c r="I83" i="16"/>
  <c r="I79" i="16"/>
  <c r="I63" i="16"/>
  <c r="I47" i="16"/>
  <c r="I31" i="16"/>
  <c r="I15" i="16"/>
  <c r="I71" i="16"/>
  <c r="I39" i="16"/>
  <c r="I67" i="16"/>
  <c r="I19" i="16"/>
  <c r="I75" i="16"/>
  <c r="I59" i="16"/>
  <c r="I43" i="16"/>
  <c r="I27" i="16"/>
  <c r="I55" i="16"/>
  <c r="I23" i="16"/>
  <c r="I51" i="16"/>
  <c r="I35" i="16"/>
  <c r="A50" i="14"/>
  <c r="B49" i="14"/>
  <c r="A49" i="14"/>
  <c r="B48" i="14"/>
  <c r="A48" i="14"/>
  <c r="A47" i="14"/>
  <c r="F43" i="14"/>
  <c r="A33" i="14"/>
  <c r="A32" i="14"/>
  <c r="D31" i="14"/>
  <c r="A31" i="14"/>
  <c r="F27" i="14"/>
  <c r="E23" i="14"/>
  <c r="F23" i="14" s="1"/>
  <c r="F33" i="14" s="1"/>
  <c r="C23" i="14"/>
  <c r="D33" i="14" s="1"/>
  <c r="A23" i="14"/>
  <c r="F22" i="14"/>
  <c r="F32" i="14" s="1"/>
  <c r="D22" i="14"/>
  <c r="B32" i="14" s="1"/>
  <c r="C22" i="14"/>
  <c r="C32" i="14" s="1"/>
  <c r="A22" i="14"/>
  <c r="F21" i="14"/>
  <c r="B24" i="14" s="1"/>
  <c r="D21" i="14"/>
  <c r="C31" i="14" s="1"/>
  <c r="A21" i="14"/>
  <c r="A20" i="14"/>
  <c r="A17" i="14"/>
  <c r="A16" i="14"/>
  <c r="A15" i="14"/>
  <c r="A14" i="14"/>
  <c r="B33" i="14" l="1"/>
  <c r="F31" i="14"/>
  <c r="D32" i="14"/>
  <c r="C33" i="14"/>
  <c r="B31" i="14"/>
  <c r="B36" i="14" l="1" a="1"/>
  <c r="D38" i="14" l="1"/>
  <c r="B38" i="14"/>
  <c r="C37" i="14"/>
  <c r="B36" i="14"/>
  <c r="F36" i="14" s="1" a="1"/>
  <c r="C36" i="14"/>
  <c r="B37" i="14"/>
  <c r="D36" i="14"/>
  <c r="D37" i="14"/>
  <c r="C38" i="14"/>
  <c r="F38" i="14" l="1"/>
  <c r="F42" i="14" s="1"/>
  <c r="F36" i="14"/>
  <c r="F37" i="14"/>
  <c r="F41" i="14" s="1"/>
  <c r="A50" i="13"/>
  <c r="B49" i="13"/>
  <c r="A49" i="13"/>
  <c r="B48" i="13"/>
  <c r="A48" i="13"/>
  <c r="A47" i="13"/>
  <c r="F43" i="13"/>
  <c r="A33" i="13"/>
  <c r="B32" i="13"/>
  <c r="A32" i="13"/>
  <c r="C31" i="13"/>
  <c r="A31" i="13"/>
  <c r="F27" i="13"/>
  <c r="E23" i="13"/>
  <c r="F23" i="13" s="1"/>
  <c r="C23" i="13"/>
  <c r="D33" i="13" s="1"/>
  <c r="A23" i="13"/>
  <c r="F22" i="13"/>
  <c r="F32" i="13" s="1"/>
  <c r="D22" i="13"/>
  <c r="D32" i="13" s="1"/>
  <c r="C22" i="13"/>
  <c r="A22" i="13"/>
  <c r="F21" i="13"/>
  <c r="F31" i="13" s="1"/>
  <c r="D21" i="13"/>
  <c r="B31" i="13" s="1"/>
  <c r="A21" i="13"/>
  <c r="A20" i="13"/>
  <c r="A17" i="13"/>
  <c r="A16" i="13"/>
  <c r="A15" i="13"/>
  <c r="A14" i="13"/>
  <c r="I41" i="15"/>
  <c r="I40" i="15"/>
  <c r="I39" i="15"/>
  <c r="I38" i="15"/>
  <c r="I37" i="15"/>
  <c r="I36" i="15"/>
  <c r="I35" i="15"/>
  <c r="J35" i="15" s="1"/>
  <c r="K35" i="15" s="1"/>
  <c r="I34" i="15"/>
  <c r="I33" i="15"/>
  <c r="I32" i="15"/>
  <c r="I31" i="15"/>
  <c r="J31" i="15" s="1"/>
  <c r="K31" i="15" s="1"/>
  <c r="I30" i="15"/>
  <c r="I29" i="15"/>
  <c r="I28" i="15"/>
  <c r="I27" i="15"/>
  <c r="I26" i="15"/>
  <c r="I25" i="15"/>
  <c r="J25" i="15" s="1"/>
  <c r="I24" i="15"/>
  <c r="I23" i="15"/>
  <c r="I22" i="15"/>
  <c r="I21" i="15"/>
  <c r="I20" i="15"/>
  <c r="I19" i="15"/>
  <c r="I18" i="15"/>
  <c r="J18" i="15" s="1"/>
  <c r="I17" i="15"/>
  <c r="I16" i="15"/>
  <c r="I15" i="15"/>
  <c r="I14" i="15"/>
  <c r="J14" i="15" s="1"/>
  <c r="H41" i="15"/>
  <c r="H40" i="15"/>
  <c r="H39" i="15"/>
  <c r="H38" i="15"/>
  <c r="H37" i="15"/>
  <c r="H36" i="15"/>
  <c r="H35" i="15"/>
  <c r="H34" i="15"/>
  <c r="H33" i="15"/>
  <c r="H32" i="15"/>
  <c r="H31" i="15"/>
  <c r="H30" i="15"/>
  <c r="H29" i="15"/>
  <c r="J29" i="15" s="1"/>
  <c r="K29" i="15" s="1"/>
  <c r="H28" i="15"/>
  <c r="J32" i="15"/>
  <c r="K32" i="15" s="1"/>
  <c r="J28" i="15"/>
  <c r="J20" i="15"/>
  <c r="J16" i="15"/>
  <c r="E41" i="15"/>
  <c r="G41" i="15" s="1"/>
  <c r="J41" i="15" s="1"/>
  <c r="E40" i="15"/>
  <c r="G40" i="15" s="1"/>
  <c r="E39" i="15"/>
  <c r="E38" i="15"/>
  <c r="G38" i="15" s="1"/>
  <c r="J38" i="15" s="1"/>
  <c r="E37" i="15"/>
  <c r="G37" i="15" s="1"/>
  <c r="J37" i="15" s="1"/>
  <c r="E36" i="15"/>
  <c r="G36" i="15" s="1"/>
  <c r="J24" i="15"/>
  <c r="G15" i="15"/>
  <c r="G16" i="15"/>
  <c r="G17" i="15"/>
  <c r="G18" i="15"/>
  <c r="G19" i="15"/>
  <c r="G20" i="15"/>
  <c r="G21" i="15"/>
  <c r="G22" i="15"/>
  <c r="G23" i="15"/>
  <c r="G24" i="15"/>
  <c r="G25" i="15"/>
  <c r="G26" i="15"/>
  <c r="G27" i="15"/>
  <c r="G28" i="15"/>
  <c r="G29" i="15"/>
  <c r="G30" i="15"/>
  <c r="G31" i="15"/>
  <c r="G32" i="15"/>
  <c r="G33" i="15"/>
  <c r="G34" i="15"/>
  <c r="G35" i="15"/>
  <c r="G39" i="15"/>
  <c r="J39" i="15" s="1"/>
  <c r="G14" i="15"/>
  <c r="J15" i="15"/>
  <c r="J33" i="15"/>
  <c r="K33" i="15" s="1"/>
  <c r="J27" i="15"/>
  <c r="J23" i="15"/>
  <c r="J21" i="15"/>
  <c r="J19" i="15"/>
  <c r="J17" i="15"/>
  <c r="G33" i="9"/>
  <c r="C33" i="9" s="1"/>
  <c r="E33" i="9"/>
  <c r="G29" i="9"/>
  <c r="G27" i="9"/>
  <c r="C27" i="9" s="1"/>
  <c r="G25" i="9"/>
  <c r="G23" i="9"/>
  <c r="C23" i="9"/>
  <c r="G21" i="9"/>
  <c r="E21" i="9" s="1"/>
  <c r="G17" i="9"/>
  <c r="C17" i="9" s="1"/>
  <c r="E17" i="9"/>
  <c r="G15" i="9"/>
  <c r="G13" i="9" s="1"/>
  <c r="C13" i="9" s="1"/>
  <c r="G20" i="2"/>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0" i="1"/>
  <c r="G21" i="1"/>
  <c r="F33" i="13" l="1"/>
  <c r="B24" i="13"/>
  <c r="D31" i="13"/>
  <c r="B36" i="13" s="1" a="1"/>
  <c r="C32" i="13"/>
  <c r="B33" i="13"/>
  <c r="C33" i="13"/>
  <c r="F40" i="14"/>
  <c r="C50" i="14"/>
  <c r="C49" i="14"/>
  <c r="C47" i="14"/>
  <c r="C48" i="14"/>
  <c r="J36" i="15"/>
  <c r="J40" i="15"/>
  <c r="J34" i="15"/>
  <c r="K34" i="15" s="1"/>
  <c r="J30" i="15"/>
  <c r="K30" i="15" s="1"/>
  <c r="J26" i="15"/>
  <c r="J22" i="15"/>
  <c r="C21" i="9"/>
  <c r="D38" i="13" l="1"/>
  <c r="C36" i="13"/>
  <c r="C38" i="13"/>
  <c r="B38" i="13"/>
  <c r="B36" i="13"/>
  <c r="D36" i="13"/>
  <c r="D37" i="13"/>
  <c r="B37" i="13"/>
  <c r="C37" i="13"/>
  <c r="I111" i="14"/>
  <c r="I107" i="14"/>
  <c r="I103" i="14"/>
  <c r="I99" i="14"/>
  <c r="I95" i="14"/>
  <c r="I91" i="14"/>
  <c r="I87" i="14"/>
  <c r="I83" i="14"/>
  <c r="I79" i="14"/>
  <c r="I75" i="14"/>
  <c r="I71" i="14"/>
  <c r="I67" i="14"/>
  <c r="I63" i="14"/>
  <c r="I59" i="14"/>
  <c r="I55" i="14"/>
  <c r="I51" i="14"/>
  <c r="I47" i="14"/>
  <c r="I43" i="14"/>
  <c r="I39" i="14"/>
  <c r="I35" i="14"/>
  <c r="I31" i="14"/>
  <c r="I27" i="14"/>
  <c r="I23" i="14"/>
  <c r="I19" i="14"/>
  <c r="I15" i="14"/>
  <c r="I109" i="14"/>
  <c r="I101" i="14"/>
  <c r="I93" i="14"/>
  <c r="I85" i="14"/>
  <c r="I77" i="14"/>
  <c r="I69" i="14"/>
  <c r="I61" i="14"/>
  <c r="I53" i="14"/>
  <c r="I45" i="14"/>
  <c r="I37" i="14"/>
  <c r="I29" i="14"/>
  <c r="I21" i="14"/>
  <c r="I13" i="14"/>
  <c r="I108" i="14"/>
  <c r="I92" i="14"/>
  <c r="I80" i="14"/>
  <c r="I72" i="14"/>
  <c r="I64" i="14"/>
  <c r="I56" i="14"/>
  <c r="I52" i="14"/>
  <c r="I44" i="14"/>
  <c r="I32" i="14"/>
  <c r="I24" i="14"/>
  <c r="I16" i="14"/>
  <c r="I110" i="14"/>
  <c r="I106" i="14"/>
  <c r="I102" i="14"/>
  <c r="I98" i="14"/>
  <c r="I94" i="14"/>
  <c r="I90" i="14"/>
  <c r="I86" i="14"/>
  <c r="I82" i="14"/>
  <c r="I78" i="14"/>
  <c r="I74" i="14"/>
  <c r="I70" i="14"/>
  <c r="I66" i="14"/>
  <c r="I62" i="14"/>
  <c r="I58" i="14"/>
  <c r="I54" i="14"/>
  <c r="I50" i="14"/>
  <c r="I46" i="14"/>
  <c r="I42" i="14"/>
  <c r="I38" i="14"/>
  <c r="I34" i="14"/>
  <c r="I30" i="14"/>
  <c r="I26" i="14"/>
  <c r="I22" i="14"/>
  <c r="I18" i="14"/>
  <c r="I14" i="14"/>
  <c r="I113" i="14"/>
  <c r="I105" i="14"/>
  <c r="I97" i="14"/>
  <c r="I89" i="14"/>
  <c r="I81" i="14"/>
  <c r="I73" i="14"/>
  <c r="I65" i="14"/>
  <c r="I57" i="14"/>
  <c r="I49" i="14"/>
  <c r="I41" i="14"/>
  <c r="I33" i="14"/>
  <c r="I25" i="14"/>
  <c r="I17" i="14"/>
  <c r="I112" i="14"/>
  <c r="I104" i="14"/>
  <c r="I100" i="14"/>
  <c r="I96" i="14"/>
  <c r="I88" i="14"/>
  <c r="I84" i="14"/>
  <c r="I76" i="14"/>
  <c r="I68" i="14"/>
  <c r="I60" i="14"/>
  <c r="I48" i="14"/>
  <c r="I40" i="14"/>
  <c r="I36" i="14"/>
  <c r="I28" i="14"/>
  <c r="I20" i="14"/>
  <c r="F36" i="13" l="1" a="1"/>
  <c r="F38" i="13" l="1"/>
  <c r="F42" i="13" s="1"/>
  <c r="F37" i="13"/>
  <c r="F41" i="13" s="1"/>
  <c r="F36" i="13"/>
  <c r="K29" i="2"/>
  <c r="K26" i="2"/>
  <c r="K23" i="2"/>
  <c r="C50" i="13" l="1"/>
  <c r="F40" i="13"/>
  <c r="C49" i="13"/>
  <c r="C48" i="13"/>
  <c r="C47" i="13"/>
  <c r="I29" i="2"/>
  <c r="I26" i="2"/>
  <c r="I23" i="2"/>
  <c r="G29" i="2"/>
  <c r="G26" i="2"/>
  <c r="G23" i="2"/>
  <c r="I16" i="13" l="1"/>
  <c r="I20" i="13"/>
  <c r="I24" i="13"/>
  <c r="I28" i="13"/>
  <c r="I32" i="13"/>
  <c r="I36" i="13"/>
  <c r="I40" i="13"/>
  <c r="I44" i="13"/>
  <c r="I48" i="13"/>
  <c r="I52" i="13"/>
  <c r="I56" i="13"/>
  <c r="I60" i="13"/>
  <c r="I64" i="13"/>
  <c r="I68" i="13"/>
  <c r="I72" i="13"/>
  <c r="I76" i="13"/>
  <c r="I80" i="13"/>
  <c r="I84" i="13"/>
  <c r="I88" i="13"/>
  <c r="I92" i="13"/>
  <c r="I96" i="13"/>
  <c r="I100" i="13"/>
  <c r="I104" i="13"/>
  <c r="I108" i="13"/>
  <c r="I112" i="13"/>
  <c r="I17" i="13"/>
  <c r="I21" i="13"/>
  <c r="I25" i="13"/>
  <c r="I29" i="13"/>
  <c r="I33" i="13"/>
  <c r="I37" i="13"/>
  <c r="I41" i="13"/>
  <c r="I45" i="13"/>
  <c r="I49" i="13"/>
  <c r="I53" i="13"/>
  <c r="I57" i="13"/>
  <c r="I61" i="13"/>
  <c r="I65" i="13"/>
  <c r="I69" i="13"/>
  <c r="I73" i="13"/>
  <c r="I77" i="13"/>
  <c r="I81" i="13"/>
  <c r="I85" i="13"/>
  <c r="I89" i="13"/>
  <c r="I93" i="13"/>
  <c r="I97" i="13"/>
  <c r="I101" i="13"/>
  <c r="I105" i="13"/>
  <c r="I109" i="13"/>
  <c r="I113" i="13"/>
  <c r="I14" i="13"/>
  <c r="I18" i="13"/>
  <c r="I22" i="13"/>
  <c r="I26" i="13"/>
  <c r="I30" i="13"/>
  <c r="I34" i="13"/>
  <c r="I38" i="13"/>
  <c r="I42" i="13"/>
  <c r="I46" i="13"/>
  <c r="I50" i="13"/>
  <c r="I54" i="13"/>
  <c r="I58" i="13"/>
  <c r="I62" i="13"/>
  <c r="I66" i="13"/>
  <c r="I70" i="13"/>
  <c r="I74" i="13"/>
  <c r="I78" i="13"/>
  <c r="I82" i="13"/>
  <c r="I86" i="13"/>
  <c r="I90" i="13"/>
  <c r="I94" i="13"/>
  <c r="I98" i="13"/>
  <c r="I102" i="13"/>
  <c r="I106" i="13"/>
  <c r="I110" i="13"/>
  <c r="I13" i="13"/>
  <c r="I15" i="13"/>
  <c r="I19" i="13"/>
  <c r="I23" i="13"/>
  <c r="I27" i="13"/>
  <c r="I31" i="13"/>
  <c r="I35" i="13"/>
  <c r="I39" i="13"/>
  <c r="I43" i="13"/>
  <c r="I47" i="13"/>
  <c r="I51" i="13"/>
  <c r="I55" i="13"/>
  <c r="I59" i="13"/>
  <c r="I63" i="13"/>
  <c r="I67" i="13"/>
  <c r="I71" i="13"/>
  <c r="I75" i="13"/>
  <c r="I79" i="13"/>
  <c r="I83" i="13"/>
  <c r="I87" i="13"/>
  <c r="I91" i="13"/>
  <c r="I95" i="13"/>
  <c r="I99" i="13"/>
  <c r="I103" i="13"/>
  <c r="I107" i="13"/>
  <c r="I111" i="13"/>
  <c r="L101" i="2"/>
  <c r="K101" i="2"/>
  <c r="J101" i="2"/>
  <c r="I101" i="2"/>
  <c r="I19" i="2"/>
  <c r="K19" i="2"/>
  <c r="A35" i="2"/>
  <c r="C35" i="2"/>
  <c r="D35" i="2"/>
  <c r="K74" i="2" s="1"/>
  <c r="A36" i="2"/>
  <c r="B37" i="2"/>
  <c r="G74" i="2" s="1"/>
  <c r="B39" i="2"/>
  <c r="B52" i="2"/>
  <c r="H74" i="2" s="1"/>
  <c r="C59" i="2"/>
  <c r="D59" i="2"/>
  <c r="I74" i="2"/>
  <c r="L74" i="2"/>
  <c r="A97" i="2"/>
  <c r="K97" i="2" s="1"/>
  <c r="A98" i="2"/>
  <c r="I98" i="2" s="1"/>
  <c r="A91" i="2"/>
  <c r="A90" i="2"/>
  <c r="A89" i="2"/>
  <c r="A88" i="2"/>
  <c r="A87" i="2"/>
  <c r="J87" i="2" s="1"/>
  <c r="A86" i="2"/>
  <c r="A85" i="2"/>
  <c r="A84" i="2"/>
  <c r="A83" i="2"/>
  <c r="A82" i="2"/>
  <c r="A71" i="2"/>
  <c r="A70" i="2"/>
  <c r="L70" i="2" s="1"/>
  <c r="A69" i="2"/>
  <c r="A68" i="2"/>
  <c r="A66" i="2"/>
  <c r="L66" i="2" s="1"/>
  <c r="A65" i="2"/>
  <c r="A64" i="2"/>
  <c r="A63" i="2"/>
  <c r="J63" i="2" s="1"/>
  <c r="A62" i="2"/>
  <c r="A61" i="2"/>
  <c r="J61" i="2" s="1"/>
  <c r="A60" i="2"/>
  <c r="A59" i="2"/>
  <c r="J59" i="2" s="1"/>
  <c r="A58" i="2"/>
  <c r="A57" i="2"/>
  <c r="A56" i="2"/>
  <c r="A55" i="2"/>
  <c r="H55" i="2" s="1"/>
  <c r="A54" i="2"/>
  <c r="A53" i="2"/>
  <c r="H53" i="2" s="1"/>
  <c r="A52" i="2"/>
  <c r="A51" i="2"/>
  <c r="A50" i="2"/>
  <c r="K50" i="2" s="1"/>
  <c r="A49" i="2"/>
  <c r="A48" i="2"/>
  <c r="A47" i="2"/>
  <c r="I47" i="2" s="1"/>
  <c r="A46" i="2"/>
  <c r="A45" i="2"/>
  <c r="A44" i="2"/>
  <c r="I44" i="2" s="1"/>
  <c r="A43" i="2"/>
  <c r="A42" i="2"/>
  <c r="A41" i="2"/>
  <c r="G41" i="2" s="1"/>
  <c r="A40" i="2"/>
  <c r="A39" i="2"/>
  <c r="G39" i="2" s="1"/>
  <c r="G22" i="1"/>
  <c r="A37" i="2" s="1"/>
  <c r="G37" i="2" s="1"/>
  <c r="A38" i="2"/>
  <c r="J92" i="2" l="1"/>
  <c r="K78" i="2"/>
  <c r="K77" i="2"/>
  <c r="H52" i="2"/>
  <c r="H75" i="2" s="1"/>
  <c r="H94" i="2" s="1"/>
  <c r="I78" i="2"/>
  <c r="I77" i="2"/>
  <c r="H78" i="2"/>
  <c r="H77" i="2"/>
  <c r="L78" i="2"/>
  <c r="L77" i="2"/>
  <c r="G78" i="2"/>
  <c r="G77" i="2"/>
  <c r="J74" i="2"/>
  <c r="J78" i="2"/>
  <c r="J77" i="2"/>
  <c r="J110" i="2" s="1"/>
  <c r="J113" i="2" s="1"/>
  <c r="K35" i="2"/>
  <c r="A67" i="2"/>
  <c r="L59" i="2"/>
  <c r="K44" i="2"/>
  <c r="K98" i="2"/>
  <c r="K99" i="2" s="1"/>
  <c r="J70" i="2"/>
  <c r="J75" i="2" s="1"/>
  <c r="J94" i="2" s="1"/>
  <c r="L63" i="2"/>
  <c r="L61" i="2"/>
  <c r="I97" i="2"/>
  <c r="I99" i="2" s="1"/>
  <c r="G75" i="2"/>
  <c r="I35" i="2"/>
  <c r="I75" i="2" s="1"/>
  <c r="L87" i="2"/>
  <c r="H103" i="2" l="1"/>
  <c r="H109" i="2"/>
  <c r="H112" i="2" s="1"/>
  <c r="L107" i="2"/>
  <c r="I94" i="2"/>
  <c r="J103" i="2"/>
  <c r="J106" i="2" s="1"/>
  <c r="J107" i="2"/>
  <c r="G94" i="2"/>
  <c r="H106" i="2"/>
  <c r="H107" i="2"/>
  <c r="H110" i="2"/>
  <c r="H113" i="2" s="1"/>
  <c r="J109" i="2"/>
  <c r="J112" i="2" s="1"/>
  <c r="L110" i="2"/>
  <c r="L113" i="2" s="1"/>
  <c r="L92" i="2"/>
  <c r="K75" i="2"/>
  <c r="L75" i="2"/>
  <c r="K94" i="2" l="1"/>
  <c r="L109" i="2" s="1"/>
  <c r="L112" i="2" s="1"/>
  <c r="L103" i="2"/>
  <c r="L106" i="2" s="1"/>
  <c r="L94" i="2"/>
</calcChain>
</file>

<file path=xl/comments1.xml><?xml version="1.0" encoding="utf-8"?>
<comments xmlns="http://schemas.openxmlformats.org/spreadsheetml/2006/main">
  <authors>
    <author>Tim Ryan</author>
  </authors>
  <commentList>
    <comment ref="F22" authorId="0">
      <text>
        <r>
          <rPr>
            <b/>
            <sz val="9"/>
            <color indexed="81"/>
            <rFont val="Tahoma"/>
            <family val="2"/>
          </rPr>
          <t>Tim Ryan:</t>
        </r>
        <r>
          <rPr>
            <sz val="9"/>
            <color indexed="81"/>
            <rFont val="Tahoma"/>
            <family val="2"/>
          </rPr>
          <t xml:space="preserve">
These costs are annual and for the provision of both water and wastewater</t>
        </r>
      </text>
    </comment>
    <comment ref="F80" authorId="0">
      <text>
        <r>
          <rPr>
            <b/>
            <sz val="9"/>
            <color indexed="81"/>
            <rFont val="Tahoma"/>
            <family val="2"/>
          </rPr>
          <t>Tim Ryan:</t>
        </r>
        <r>
          <rPr>
            <sz val="9"/>
            <color indexed="81"/>
            <rFont val="Tahoma"/>
            <family val="2"/>
          </rPr>
          <t xml:space="preserve">
We have assumed that sewerage pump will be required for greenfield developments to ensure suitable discharge of sewage from the reticulation network. This will not always be the case and will be dependent on individual circumstances for the development, however we think it is reasonable that pumping would be required for reticulation services in greenfield developments. </t>
        </r>
      </text>
    </comment>
  </commentList>
</comments>
</file>

<file path=xl/comments2.xml><?xml version="1.0" encoding="utf-8"?>
<comments xmlns="http://schemas.openxmlformats.org/spreadsheetml/2006/main">
  <authors>
    <author>Tim Ryan</author>
  </authors>
  <commentList>
    <comment ref="H13" authorId="0">
      <text>
        <r>
          <rPr>
            <b/>
            <sz val="9"/>
            <color indexed="81"/>
            <rFont val="Tahoma"/>
            <charset val="1"/>
          </rPr>
          <t>Tim Ryan:</t>
        </r>
        <r>
          <rPr>
            <sz val="9"/>
            <color indexed="81"/>
            <rFont val="Tahoma"/>
            <charset val="1"/>
          </rPr>
          <t xml:space="preserve">
Rates are based on </t>
        </r>
        <r>
          <rPr>
            <i/>
            <sz val="9"/>
            <color indexed="81"/>
            <rFont val="Tahoma"/>
            <family val="2"/>
          </rPr>
          <t>NSW Reference Rates Manual</t>
        </r>
      </text>
    </comment>
    <comment ref="J28" authorId="0">
      <text>
        <r>
          <rPr>
            <b/>
            <sz val="9"/>
            <color indexed="81"/>
            <rFont val="Tahoma"/>
            <charset val="1"/>
          </rPr>
          <t>Tim Ryan:</t>
        </r>
        <r>
          <rPr>
            <sz val="9"/>
            <color indexed="81"/>
            <rFont val="Tahoma"/>
            <charset val="1"/>
          </rPr>
          <t xml:space="preserve">
This has been assumed to be exhume and relay as relining for a pipe of this size is generally more difficult. </t>
        </r>
      </text>
    </comment>
  </commentList>
</comments>
</file>

<file path=xl/sharedStrings.xml><?xml version="1.0" encoding="utf-8"?>
<sst xmlns="http://schemas.openxmlformats.org/spreadsheetml/2006/main" count="1468" uniqueCount="407">
  <si>
    <t>Service</t>
  </si>
  <si>
    <t>Asset</t>
  </si>
  <si>
    <t>Standardised Unit</t>
  </si>
  <si>
    <t>Value per Unit</t>
  </si>
  <si>
    <t>Expected Life</t>
  </si>
  <si>
    <t>Lifecycle Opex</t>
  </si>
  <si>
    <t>Economies of Scale</t>
  </si>
  <si>
    <t>Economies of Scope</t>
  </si>
  <si>
    <t>Topography</t>
  </si>
  <si>
    <t>Delivery of Service</t>
  </si>
  <si>
    <t>Comments</t>
  </si>
  <si>
    <t>Water Retail</t>
  </si>
  <si>
    <t>Water Reticulation</t>
  </si>
  <si>
    <t>Wastewater Retail</t>
  </si>
  <si>
    <t>Wastewater Reticulation - Gravity</t>
  </si>
  <si>
    <t>Wastewater Reticulation - Pressure</t>
  </si>
  <si>
    <t>Service_Names</t>
  </si>
  <si>
    <t>Asset Characteristics</t>
  </si>
  <si>
    <t>Factors that Influence Characteristics</t>
  </si>
  <si>
    <t>Scheme characteristics</t>
  </si>
  <si>
    <t>End use customers</t>
  </si>
  <si>
    <t>Water consumption (from incumbent's network)</t>
  </si>
  <si>
    <t>Sewage discharge (to incumbent's network</t>
  </si>
  <si>
    <t>Retail metering</t>
  </si>
  <si>
    <t>Number of meters</t>
  </si>
  <si>
    <t>Average asset lives</t>
  </si>
  <si>
    <t>Reticulation network</t>
  </si>
  <si>
    <t>Total length of reticulation network</t>
  </si>
  <si>
    <t>Water</t>
  </si>
  <si>
    <t>Sewerage</t>
  </si>
  <si>
    <t>Example 1: 2,000 20mm equivalent brownfield development</t>
  </si>
  <si>
    <t>Example 2: 2,000 20mm equivalent greenfield development</t>
  </si>
  <si>
    <t>Example 3: 10,000 20mm equivalent greenfield development</t>
  </si>
  <si>
    <t>1,800 residential apartments; 200 20mm equivalent commercial properties</t>
  </si>
  <si>
    <t>2 x 80mm
1 x 150 mm</t>
  </si>
  <si>
    <t>Water meters (connection point to incumbent)</t>
  </si>
  <si>
    <t>12 years</t>
  </si>
  <si>
    <t>FOR EXAMPLE</t>
  </si>
  <si>
    <t>The topography is unlikely to have an impact on the unit cost of 20mm meters</t>
  </si>
  <si>
    <t>Geotechnical</t>
  </si>
  <si>
    <t>1-</t>
  </si>
  <si>
    <t>Assumptions and Qualifications</t>
  </si>
  <si>
    <t>2-</t>
  </si>
  <si>
    <t>3-</t>
  </si>
  <si>
    <t>Min DN150 for all water reticulation main to allow for firewater connection(s) of potable water reticulation network</t>
  </si>
  <si>
    <t>4-</t>
  </si>
  <si>
    <t>5-</t>
  </si>
  <si>
    <t>6-</t>
  </si>
  <si>
    <t>Quantity of pipework based on:</t>
  </si>
  <si>
    <t>a- total development size of 300m x 260m</t>
  </si>
  <si>
    <t>Common</t>
  </si>
  <si>
    <t>Valves, hydrants and associated fittings are accounted for within the unit rates of pipework</t>
  </si>
  <si>
    <t>Single sewer discharge from development site to town main</t>
  </si>
  <si>
    <t>Manholes and bends are accounted for within the unit rates of pipework</t>
  </si>
  <si>
    <t>CPI</t>
  </si>
  <si>
    <t>DN50 uPVC - Water</t>
  </si>
  <si>
    <t>DN80 uPVC - Water</t>
  </si>
  <si>
    <t>DN100 DICL - Brownfield - Water</t>
  </si>
  <si>
    <t>DN150 DICL - Brownfield - Water</t>
  </si>
  <si>
    <t>DN200 DICL - Brownfield - Water</t>
  </si>
  <si>
    <t>DN250 DICL - Brownfield - Water</t>
  </si>
  <si>
    <t>DN300 DICL - Brownfield - Water</t>
  </si>
  <si>
    <t>DN375 DICL - Brownfield - Water</t>
  </si>
  <si>
    <t>DN100 DICL - Greenfield - Water</t>
  </si>
  <si>
    <t>DN150 DICL - Greenfield - Water</t>
  </si>
  <si>
    <t>DN200 DICL - Greenfield - Water</t>
  </si>
  <si>
    <t>DN250 DICL - Greenfield - Water</t>
  </si>
  <si>
    <t>DN300 DICL - Greenfield - Water</t>
  </si>
  <si>
    <t>DN375 DICL - Greenfield - Water</t>
  </si>
  <si>
    <t>DN100 - Brownfield - Sewer</t>
  </si>
  <si>
    <t>DN150 - Brownfield - Sewer</t>
  </si>
  <si>
    <t>DN225 - Brownfield - Sewer</t>
  </si>
  <si>
    <t>DN300 - Brownfield - Sewer</t>
  </si>
  <si>
    <t>DN375 - Brownfield - Sewer</t>
  </si>
  <si>
    <t>DN450 - Brownfield - Sewer</t>
  </si>
  <si>
    <t>DN500 - Brownfield - Sewer</t>
  </si>
  <si>
    <t>DN600 - Brownfield - Sewer</t>
  </si>
  <si>
    <t>262,800kL/year</t>
  </si>
  <si>
    <t>210,240kL/year</t>
  </si>
  <si>
    <t>DN100 - Greenfield - Sewer</t>
  </si>
  <si>
    <t>DN150 - Greenfield - Sewer</t>
  </si>
  <si>
    <t>DN225 - Greenfield - Sewer</t>
  </si>
  <si>
    <t>DN300 - Greenfield - Sewer</t>
  </si>
  <si>
    <t>DN375 - Greenfield - Sewer</t>
  </si>
  <si>
    <t>DN450 - Greenfield - Sewer</t>
  </si>
  <si>
    <t>DN500 - Greenfield - Sewer</t>
  </si>
  <si>
    <t>DN600 - Greenfield - Sewer</t>
  </si>
  <si>
    <t>DN100 DICL - Sewer Pressure Pipe</t>
  </si>
  <si>
    <t>DN150 DICL - Sewer Pressure Pipe</t>
  </si>
  <si>
    <t>DN200 DICL - Sewer Pressure Pipe</t>
  </si>
  <si>
    <t>DN250 DICL - Sewer Pressure Pipe</t>
  </si>
  <si>
    <t>Sewerage Pump - 10L/s</t>
  </si>
  <si>
    <t>Sewerage Pump - 20L/s</t>
  </si>
  <si>
    <t>Sewerage Pump - 30L/s</t>
  </si>
  <si>
    <t>Sewerage Pump - 40L/s</t>
  </si>
  <si>
    <t>Sewerage Pump - 50L/s</t>
  </si>
  <si>
    <t>Each</t>
  </si>
  <si>
    <t>The topography is unlikely to have an impact on the unit cost.</t>
  </si>
  <si>
    <t>1x100mm</t>
  </si>
  <si>
    <t>Sewerage Pump - 60L/s</t>
  </si>
  <si>
    <t>Sewerage Pump - 80L/s</t>
  </si>
  <si>
    <t>DN300 DICL - Sewer Pressure Pipe</t>
  </si>
  <si>
    <t>DN375 DICL - Sewer Pressure Pipe</t>
  </si>
  <si>
    <t>b- total 8 street block, each has 4x service connections</t>
  </si>
  <si>
    <t>c- Block size at 100m x 50m with 10 level of residential and ground level for commercial (total 11 Levels)</t>
  </si>
  <si>
    <t>Rates assumed no existing services</t>
  </si>
  <si>
    <t>Min DN100 for all water reticulation main to allow for firewater connection(s) of potable water reticulation network</t>
  </si>
  <si>
    <t>Assets' expected life and usage calculation based on WSA02 - Sewerage Code of Australia</t>
  </si>
  <si>
    <t>Pipe: 100 years
Valves: 30 years</t>
  </si>
  <si>
    <t>Pipe: 100 years
Maint Struct: 100 years</t>
  </si>
  <si>
    <t>Pumps: 25 years
Pipeworks: 50 years
Valves: 30 years
Struct: 100 years
EI&amp;C: 15-25 years</t>
  </si>
  <si>
    <t>Pipe: 100 yrs
Ancillary: 30 yrs</t>
  </si>
  <si>
    <t xml:space="preserve">100 yrs
</t>
  </si>
  <si>
    <t>Metre</t>
  </si>
  <si>
    <t>Denser development may assist with reducing the length of pipe required, however, it may require larger pipe size which has a higher unit cost</t>
  </si>
  <si>
    <t>See above</t>
  </si>
  <si>
    <t>Unlikely to have an impact on the unit cost as the sizing of the pump station is independent of the denser</t>
  </si>
  <si>
    <t>On the basis that, the sewer pump station is a wet well (typically 5m-10m deep),  the ground condition such as rock excavation, contaminated soil, water charged ground and bearing capacity is likely to have an impact on the unit cost.</t>
  </si>
  <si>
    <t>Water Pumping Station - 10kW</t>
  </si>
  <si>
    <t>Water Pumping Station - 20kW</t>
  </si>
  <si>
    <t>Water Pumping Station - 30kW</t>
  </si>
  <si>
    <t>Water Pumping Station - 50kW</t>
  </si>
  <si>
    <t>Water Pumping Station - 100kW</t>
  </si>
  <si>
    <t>On the basis that, the pumping station is an above ground structure, the topography is unlikely to have an impact on the unit cost.</t>
  </si>
  <si>
    <t>Pumps: 20 years
Pipeworks: 100 years
Valves: 30 years
EI&amp;C: 15-25 years</t>
  </si>
  <si>
    <t>On the basis that, the reservoir is an above ground structure, the topography is unlikely to have an impact on the unit cost.</t>
  </si>
  <si>
    <t>Boundary Traps</t>
  </si>
  <si>
    <t>1x 20mm</t>
  </si>
  <si>
    <t>1x20mm</t>
  </si>
  <si>
    <t>e- 50% build-up area per lot (i.e. half of the land area is building structure</t>
  </si>
  <si>
    <t>Rates allow for existing services and associated increased construction difficulties</t>
  </si>
  <si>
    <t>both pipe size and length may varies pending on water consumption and sewage flow assumed and the layout of the development site.</t>
  </si>
  <si>
    <t>Water Infrastructure</t>
  </si>
  <si>
    <t>d- road reserve width at 20m, total road length estimated to be 2200m</t>
  </si>
  <si>
    <t>Single DN250 feed pipe from authority main to development site</t>
  </si>
  <si>
    <t>No allowance for water booster pump station. i.e. There is sufficient pressure in the authority main to supply the whole development</t>
  </si>
  <si>
    <t>Based on one service connection point per apartment block (with 2x DN80 and 1x DN150 water service connections)</t>
  </si>
  <si>
    <t>Based on one service connection point per apartment block (with 1x DN150 sewer connection)</t>
  </si>
  <si>
    <t>Authority receiving sewer has capacity floes from development via gravity</t>
  </si>
  <si>
    <t>b- total 36 street block, each has 20x service connections</t>
  </si>
  <si>
    <t>Based on one service connection point per property (with 1x DN20 water service connections)</t>
  </si>
  <si>
    <t>Based on one service connection point per property (with 1x DN100 sewer connection)</t>
  </si>
  <si>
    <t>Due to topography and development size, 1x sewerage pumping station allowed.</t>
  </si>
  <si>
    <t>Sewerage Infrastructure</t>
  </si>
  <si>
    <t>b- total 180 street block, each has 20x service connections</t>
  </si>
  <si>
    <t>c- block size at 200m x 50m with 500m2 land lot for property</t>
  </si>
  <si>
    <t>Assumed</t>
  </si>
  <si>
    <t>Case 1 - Brownfield with 2,000 Equivalent</t>
  </si>
  <si>
    <t>Case 2 - Greenfield with 2,000 Equivalent</t>
  </si>
  <si>
    <t>Case 3 - Greenfield with 10,000 Equivalent</t>
  </si>
  <si>
    <t>DN450 DICL - Greenfield - Water</t>
  </si>
  <si>
    <t>Sewerage Pump - 100L/s</t>
  </si>
  <si>
    <t>Sewerage Pump - 140L/s</t>
  </si>
  <si>
    <t>Sewerage Pump - 180L/s</t>
  </si>
  <si>
    <t>Sewerage Pump - 200L/s</t>
  </si>
  <si>
    <t>2,483,460kL/year</t>
  </si>
  <si>
    <t>3,547,800kL/year</t>
  </si>
  <si>
    <t>532,170kL/year</t>
  </si>
  <si>
    <t>760,242kL/year</t>
  </si>
  <si>
    <t>d- road reserve width at 20m, total length estimated to be 39km</t>
  </si>
  <si>
    <t>Single DN450 feed pipe from authority main to development site</t>
  </si>
  <si>
    <t>Two sewer discharge from development site to town main</t>
  </si>
  <si>
    <t>Assumed wastewater to be gravity drained to two sewerage pumping stations prior to discharge to town sewer main via sewer rising main</t>
  </si>
  <si>
    <t>This cost estimate was completed based on the following:</t>
  </si>
  <si>
    <t>a- Brownfield development has lesser land size and requires med to high density zoning to accommodate the proposed development</t>
  </si>
  <si>
    <t>b- Greenfield development has larger land size and will be low density zoning to accommodate the proposed development</t>
  </si>
  <si>
    <t>Reticulation Capital expenditure</t>
  </si>
  <si>
    <t>Pumping annual operating expenditure</t>
  </si>
  <si>
    <t>a- total development size of 2km x 1km</t>
  </si>
  <si>
    <t>a- total development size of 3km x 3km</t>
  </si>
  <si>
    <t>d- road reserve width at 20m, total length estimated to be 180km</t>
  </si>
  <si>
    <t>Due to topography and development size, 3x sewerage pumping station allowed.</t>
  </si>
  <si>
    <t>DISCLAIMER:</t>
  </si>
  <si>
    <t>DESCRIPTION OF SPREADSHEET:</t>
  </si>
  <si>
    <t>BENCHMARK UNIT RATES</t>
  </si>
  <si>
    <t>EXAMPLE SCENARIO COST INFORMATION</t>
  </si>
  <si>
    <t>ASSUMPTIONS REGARDING EXAMPLE SCENARIO COSTINGS</t>
  </si>
  <si>
    <t>Common to all scenarios</t>
  </si>
  <si>
    <t>DN250 ring main allowed around the perimeter of development site to provide redundancy and security of supply in the event of shut down for maintenance</t>
  </si>
  <si>
    <t>e- total 1,800 residential  and 200 commercial properties</t>
  </si>
  <si>
    <t>Total 1x water pumping stations and water reservoirs allowed for water supply to the whole development</t>
  </si>
  <si>
    <t>Assumed all property wastewater will be gravity drained to sewerage pumping station(s)</t>
  </si>
  <si>
    <t>Total 2x sewerage pumping stations allowed for sewerage discharge from the whole development to authority mains (assumed 2x sewerage discharge points)</t>
  </si>
  <si>
    <t>Total 2x water pumping stations and water reservoirs allowed for water supply to the whole development</t>
  </si>
  <si>
    <t>DN450 ring main allowed around the perimeter of development site to provide redundancy and security of supply in the event of shut down for maintenance</t>
  </si>
  <si>
    <t>ASSUMED LAYOUTS FOR EACH EXAMPLE SCENARIO</t>
  </si>
  <si>
    <t>Nil. To be managed by property owner</t>
  </si>
  <si>
    <t>The density and the size of development is unlikely to have an impact on the unit cost.</t>
  </si>
  <si>
    <t>As the water meter is generally required to be installed by licenced plumbers, thus it is unlikely to have an impact on the unit cost</t>
  </si>
  <si>
    <t>The geotechnical condition of the ground is unlikely to have an impact on the unit cost as it is likely to be installed above ground</t>
  </si>
  <si>
    <t xml:space="preserve">Different delivery options may impact on factors such as warehousing costs, however it is unlikely to be a material impact on this high level analysis. </t>
  </si>
  <si>
    <t>Nil assumed to be installed / constructed by property developer</t>
  </si>
  <si>
    <t>DN20 - Water Service Connection</t>
  </si>
  <si>
    <t>$2 / metre</t>
  </si>
  <si>
    <t>As the water service connection is generally required to be installed by licenced plumbers, thus it is unlikely to have an impact on the unit cost</t>
  </si>
  <si>
    <t>The topography is unlikely to have an impact as the average depth of pipe is similar in flat and undulated terrains.</t>
  </si>
  <si>
    <t>Ground condition such as rock excavation, contaminated soil, water charged ground and bearing capacity is likely to have an impact on the unit cost.
Encountering rock in trench installation can increase the cost by 20% to 5 times pending on the strength and level of the rock in the pipe trench.</t>
  </si>
  <si>
    <t>Capex cost may be lower if utility services (such as water, sewer, stormwater) can be installed by a single civil contractor.</t>
  </si>
  <si>
    <t>The topography is unlikely to have an impact on the unit cost as the average depth of pipe is similar in flat and undulated terrains.</t>
  </si>
  <si>
    <t>The topography is likely to have an impact on the unit cost as the sewer gravity main would have a deeper average depth in flatter terrain compared to undulating terrain.
Pending on the installation depth of the sewer gravity main, the unit cost could double to 3 times for a depth up to 4.5m</t>
  </si>
  <si>
    <t>The topography is likely to have an impact on the unit cost as cost of installation increases with the deep of installation. The sewer gravity main would have a deeper average depth in flatter terrain compare to an undulated terrain.
Pending on the installation depth of the sewer gravity main, the unit cost could double to 3 times for a depth up to 4.5m</t>
  </si>
  <si>
    <t>$14,490 / each</t>
  </si>
  <si>
    <t>Capex cost may be lower if sewerage pumping station and unity services can be constructed together. Other factor such as sourcing off-the-shelf pump skid may also reduce the Capex Cost</t>
  </si>
  <si>
    <t>$26,910 / each</t>
  </si>
  <si>
    <t>Capex cost may be lower if water pumping station and water reservoir can be constructed together. Other factor such as sourcing off-the-shelf pump skid may also reduce the Capex Cost</t>
  </si>
  <si>
    <t>On the basis that, the pumping station is above ground,  the ground condition such as rock excavation, contaminated soil, water charged ground and bearing capacity is likely to have an impact on the unit cost.</t>
  </si>
  <si>
    <t>Water Service Reservoirs - 0.5ML</t>
  </si>
  <si>
    <t>$10 / property</t>
  </si>
  <si>
    <t>Capex cost may be lower if water reservoir and water pumping station can be constructed together.</t>
  </si>
  <si>
    <t>On the basis that, the reservoir is above ground,  the ground condition such as rock excavation, contaminated soil, water charged ground and bearing capacity is likely to have an impact on the unit cost.</t>
  </si>
  <si>
    <t>Water Service Reservoirs - 1ML</t>
  </si>
  <si>
    <t>Water Service Reservoirs - 2ML</t>
  </si>
  <si>
    <t>Water Service Reservoirs - 4ML</t>
  </si>
  <si>
    <t>Water Service Reservoirs - 5ML</t>
  </si>
  <si>
    <t>Water Service Reservoirs - 8ML</t>
  </si>
  <si>
    <t>Water Service Reservoirs - 10ML</t>
  </si>
  <si>
    <t>Water Service Reservoirs - 15ML</t>
  </si>
  <si>
    <t>Quantity</t>
  </si>
  <si>
    <t>Service Connection Length</t>
  </si>
  <si>
    <t>Case 1</t>
  </si>
  <si>
    <t>Case 2</t>
  </si>
  <si>
    <t>Case 3</t>
  </si>
  <si>
    <t>Rates</t>
  </si>
  <si>
    <t>Qty</t>
  </si>
  <si>
    <t>1,800 residential houses &amp; 200 of commercial properties</t>
  </si>
  <si>
    <t>9,000 residential houses &amp; 1,000 of commercial properties</t>
  </si>
  <si>
    <t>1x 150mm</t>
  </si>
  <si>
    <t>Inflation Factor</t>
  </si>
  <si>
    <t>Capex per property</t>
  </si>
  <si>
    <t>Opex per property</t>
  </si>
  <si>
    <t>OPERATING COST SUMMARY</t>
  </si>
  <si>
    <t>Item</t>
  </si>
  <si>
    <t>Cost</t>
  </si>
  <si>
    <t>UoM</t>
  </si>
  <si>
    <t>Remarks</t>
  </si>
  <si>
    <t>Reference</t>
  </si>
  <si>
    <t>Water main</t>
  </si>
  <si>
    <t>per m</t>
  </si>
  <si>
    <t>'000 / 100km</t>
  </si>
  <si>
    <t>Operation Cost</t>
  </si>
  <si>
    <t>2013-14 Water Supply and Sewerage NSW Benchmarking Report, Table 13</t>
  </si>
  <si>
    <t>Maintenance cost</t>
  </si>
  <si>
    <t>Water Pump Station</t>
  </si>
  <si>
    <t>each</t>
  </si>
  <si>
    <t>'000 / Pump</t>
  </si>
  <si>
    <t>Energy Cost</t>
  </si>
  <si>
    <t>Water Reservoir</t>
  </si>
  <si>
    <t>per property</t>
  </si>
  <si>
    <t>2013-14 Water Supply and Sewerage NSW Benchmarking Report, Table 18</t>
  </si>
  <si>
    <t>Sewer Pump Station</t>
  </si>
  <si>
    <t>Service mains (i.e. from reticulation main to property connection) assumed to be 10m in length</t>
  </si>
  <si>
    <t>Both pipe size and length may varies pending on water consumption and sewage flow assumed and the layout of the development site.</t>
  </si>
  <si>
    <t>e- total 9,000 residential  and 1,000 commercial properties</t>
  </si>
  <si>
    <t>Billing services</t>
  </si>
  <si>
    <t>Outbound customer communications</t>
  </si>
  <si>
    <t>Other retail activities</t>
  </si>
  <si>
    <t>Billing Services</t>
  </si>
  <si>
    <t>Per customer, per month</t>
  </si>
  <si>
    <t>Call Centre Services</t>
  </si>
  <si>
    <t>Outbound Customer Communications</t>
  </si>
  <si>
    <t>Other Retail Services</t>
  </si>
  <si>
    <t>$2-$4</t>
  </si>
  <si>
    <t>$0.50-$1</t>
  </si>
  <si>
    <t>NA</t>
  </si>
  <si>
    <t xml:space="preserve">Only Opex </t>
  </si>
  <si>
    <t>Given upfront costs of establishing these retail services, we have assumed that these services would be more efficiently provided through an external service provider</t>
  </si>
  <si>
    <t>No impact on the unit rate of this service</t>
  </si>
  <si>
    <t>The range provided is based on the number of customers that would be serviced by the new entrant. The lower end of the range ($2) would represent a higher customer base, while the upper end of the range ($4) would represent a smaller customer base.</t>
  </si>
  <si>
    <t>The range provided is based on the number of customers that would be serviced by the new entrant. The lower end of the range ($0.50) would represent a higher customer base, while the upper end of the range ($1) would represent a smaller customer base.</t>
  </si>
  <si>
    <t>There would be economies of scope for billing services - as costs for providing billing services for water-only, wastewater-only or a combined water and wastewater service would be the same (assuming the same number of customers).</t>
  </si>
  <si>
    <t>There are economies of scope in call centre costs for providing wastewater services in addition to water services as the additional call centre costs for wastewater services would be expected to be lower.</t>
  </si>
  <si>
    <t xml:space="preserve">Based on information provided by external managed service provider. </t>
  </si>
  <si>
    <t xml:space="preserve">Based on information provided by external managed service provider and industry knowledge. </t>
  </si>
  <si>
    <t>Asset life based on Water Supply Code of Australia 
For water reticulation networks, the typical spacing for valves is around 200m, depending on the complexity of the system. Based on this, it is estimated that approximately 5-20% of pipe-related capex is related to valves. 
Rates are based on "NSW Reference Rates Manual - Valuation of water supply, sewerage and stormwater assets", published by Department of Primary Industries - Office of Water, 2014, increased to 2016 price with CPI of 3.5%
Opex based on "2013-14 Water Supply and Sewerage NSW Benchmarking Report" Benchmarking cost data, published by Department of Primary Industries, increased to 2016 prices with CPI of 3.5%</t>
  </si>
  <si>
    <t xml:space="preserve">The Excel Spreadsheet has been prepared for the Independent Pricing and Regulatory Tribunal as part of its review into wholesale water and sewerage prices. 
The analysis and information provided in this Excel Spreadsheet is derived in whole or in part from information prepared by a range of parties other than Oakley Greenwood. Oakley Greenwood explicitly disclaims liability for any errors or omissions in that information, or any other aspect of the validity of that information. We also disclaim liability for the use of any information in this report by any party for any purpose other than the intended purpose. </t>
  </si>
  <si>
    <t>20mm meter - Remote Unit</t>
  </si>
  <si>
    <t>20mm meter - Standard Unit</t>
  </si>
  <si>
    <t>See Above</t>
  </si>
  <si>
    <t>$0.52/m (New asset)
$1.99/m (100yr avg)</t>
  </si>
  <si>
    <t>Asset life based on Water Supply Code of Australia 
Unit rate based on DN50 uPVC - Water pipe
Opex based on "2013-14 Water Supply and Sewerage NSW Benchmarking Report" Benchmarking cost data, published by Department of Primary Industries, increased to 2016 prices with CPI of 3.1%</t>
  </si>
  <si>
    <t>Asset life based on Water Supply Code of Australia 
Rates are based on "NSW Reference Rates Manual - Valuation of water supply, sewerage and stormwater assets", published by Department of Primary Industries - Office of Water, 2014, increased to 2016 prices with CPI of 3.1%
Opex based on "2013-14 Water Supply and Sewerage NSW Benchmarking Report" Benchmarking cost data, published by Department of Primary Industries, increased to 2016 prices with CPI of 3.1%</t>
  </si>
  <si>
    <t>DN50 uPVC - Brownfield - Water</t>
  </si>
  <si>
    <t>Asset life based on Water Supply Code of Australia 
Unit rate based on minimum pipe installation depth as per Water Supply Code of Australia (typical 600-750mm, laid in roadway).
Rates are based on "NSW Reference Rates Manual - Valuation of water supply, sewerage and stormwater assets", published by Department of Primary Industries - Office of Water, 2014, increased to 2016 prices with CPI of 3.1%
For brownfield installation, additional cost of moderate construction difficulty has been applied (e.g. existing services)
Opex based on "2013-14 Water Supply and Sewerage NSW Benchmarking Report" Benchmarking cost data, published by Department of Primary Industries, increased to 2016 prices with CPI of 3.1%</t>
  </si>
  <si>
    <t>DN80 uPVC - Brownfield - Water</t>
  </si>
  <si>
    <t>DN100 uPVC - Brownfield - Water</t>
  </si>
  <si>
    <t>DN150 uPVC - Brownfield - Water</t>
  </si>
  <si>
    <t>DN200 uPVC - Brownfield - Water</t>
  </si>
  <si>
    <t>DN250 uPVC - Brownfield - Water</t>
  </si>
  <si>
    <t>DN300 uPVC - Brownfield - Water</t>
  </si>
  <si>
    <t>DN375 uPVC - Brownfield - Water</t>
  </si>
  <si>
    <t>DN50 uPVC - Greenfield - Water</t>
  </si>
  <si>
    <t>Asset life based on Water Supply Code of Australia 
'Unit rate based on minimum pipe installation depth as per Water Supply Code of Australia (typical 600-750mm, laid in roadway).
Rates are based on "NSW Reference Rates Manual - Valuation of water supply, sewerage and stormwater assets", published by Department of Primary Industries - Office of Water, 2014, increased to 2016 prices with CPI of 3.1%
Opex based on "2013-14 Water Supply and Sewerage NSW Benchmarking Report" Benchmarking cost data, published by Department of Primary Industries, increased to 2016 prices with CPI of 3.1%</t>
  </si>
  <si>
    <t>DN80 uPVC - Greenfield - Water</t>
  </si>
  <si>
    <t>DN100 uPVC - Greenfield - Water</t>
  </si>
  <si>
    <t>DN150 uPVC - Greenfield - Water</t>
  </si>
  <si>
    <t>DN200 uPVC - Greenfield - Water</t>
  </si>
  <si>
    <t>DN250 uPVC - Greenfield - Water</t>
  </si>
  <si>
    <t>DN300 uPVC - Greenfield - Water</t>
  </si>
  <si>
    <t>DN375 uPVC - Greenfield - Water</t>
  </si>
  <si>
    <t>Asset life based on Water Supply Code of Australia 
'Unit rate based on minimum pipe installation depth as per Water Supply Code of Australia (typical 600-750mm, laid in roadway).
Rates are based on "NSW Reference Rates Manual - Valuation of water supply, sewerage and stormwater assets", published by Department of Primary Industries - Office of Water, 2014, increased to 2016 prices with CPI of 3.1%
For brownfield installation, additional cost of moderate construction difficulty has been applied (e.g. existing services)
Opex based on "2013-14 Water Supply and Sewerage NSW Benchmarking Report" Benchmarking cost data, published by Department of Primary Industries, increased to 2016 prices with CPI of 3.1%</t>
  </si>
  <si>
    <t>$0.76/m (New asset)
$2.37/m (100yr avg)</t>
  </si>
  <si>
    <t>Asset life based on Sewerage Code of Australia 
'Unit rate based on minimum pipe installation depth as per Sewerage Code of Australia (typical 1.5m to 3.0m, laid in roadway).
Rates are based on "NSW Reference Rates Manual - Valuation of water supply, sewerage and stormwater assets", published by Department of Primary Industries - Office of Water, 2014, increased to 2016 prices with CPI of 3.1%
For brownfield installation, additional cost of moderate construction difficulty has been applied (e.g. existing services)
Opex based on "2013-14 Water Supply and Sewerage NSW Benchmarking Report" Benchmarking cost data, published by Department of Primary Industries, increased to 2016 prices with CPI of 3.1%</t>
  </si>
  <si>
    <t>Asset life based on Sewerage Code of Australia 
Unit rate based on minimum pipe installation depth as per Sewerage Code of Australia (typical 1.5m to 3.0m, laid in roadway).
Rates are based on "NSW Reference Rates Manual - Valuation of water supply, sewerage and stormwater assets", published by Department of Primary Industries - Office of Water, 2014, increased to 2016 prices with CPI of 3.1%
Opex based on "2013-14 Water Supply and Sewerage NSW Benchmarking Report", published by Department of Primary Industries, increased to 2016 prices with CPI of 3.1%</t>
  </si>
  <si>
    <t>$0.52/m (New asset)
$2.13/m (100yr avg)</t>
  </si>
  <si>
    <t>Asset life based on Sewerage Code of Australia 
'Unit rate based on minimum pipe installation depth as per Sewerage Code of Australia (typical 600-750mm, laid in roadway).
Rates are based on "NSW Reference Rates Manual - Valuation of water supply, sewerage and stormwater assets", published by Department of Primary Industries - Office of Water, 2014, increased to 2016 prices with CPI of 3.1%
Opex based on "2013-14 Water Supply and Sewerage NSW Benchmarking Report", published by Department of Primary Industries, increased to 2016 prices with CPI of 3.1%</t>
  </si>
  <si>
    <t>Asset life based on Sewage Pumping Station Code of Australia 
Rates are based on "NSW Reference Rates Manual - Valuation of water supply, sewerage and stormwater assets", published by Department of Primary Industries - Office of Water, 2014, increased to 2016 prices with CPI of 3.1%
Opex based on "2013-14 Water Supply and Sewerage NSW Benchmarking Report" Benchmarking cost data, published by Department of Primary Industries, increased to 2016 prices with CPI of 3.1%</t>
  </si>
  <si>
    <t>Capital expenditure - Remote Unit</t>
  </si>
  <si>
    <t>Capital expenditure - Standard Unit</t>
  </si>
  <si>
    <t>Meter reading costs</t>
  </si>
  <si>
    <t>Non-meter retail costs</t>
  </si>
  <si>
    <t xml:space="preserve"> Reticulation annual operating expenditure (New Asset)</t>
  </si>
  <si>
    <t>Total Lifecycle Cost (100 yrs)</t>
  </si>
  <si>
    <t>Opex Cost - New Asset</t>
  </si>
  <si>
    <t>Lifecycle Cost Breakdown</t>
  </si>
  <si>
    <t>per connection</t>
  </si>
  <si>
    <t>Gravity Sewer Main</t>
  </si>
  <si>
    <t>Pressure Sewer Main</t>
  </si>
  <si>
    <t>Operational Cost based on 2013-14 Water Supply and Sewerage NSW Benchmarking Report, Table 18
Maintenance cost based on water main (pressure main)</t>
  </si>
  <si>
    <t>Total Reticulation operating expenditure  (Total Serviceable Life)</t>
  </si>
  <si>
    <t>RENEWAL COSTS</t>
  </si>
  <si>
    <t>Renewal Cost</t>
  </si>
  <si>
    <t>UNIT</t>
  </si>
  <si>
    <t>CAPEX
$/m</t>
  </si>
  <si>
    <t>60% OF CAPEX
(Removal) 
(1)
$/m</t>
  </si>
  <si>
    <t>GREENFIELD 
(Installation of new)
(2)
$/m</t>
  </si>
  <si>
    <t>DIFFICULTIES 
(site management and traffic control)
(3)
$/m</t>
  </si>
  <si>
    <t>EXHUME AND RELAY
COST
(1)+(2)+(3)
$/m</t>
  </si>
  <si>
    <t>RELINE COST
(50% OF EXHUME AND RELAY)
$/m</t>
  </si>
  <si>
    <t>DN50 PVC - Brownfield - Water</t>
  </si>
  <si>
    <t>n/a</t>
  </si>
  <si>
    <t>DN80 PVC - Brownfield - Water</t>
  </si>
  <si>
    <t>DN100 PVC - Brownfield - Water</t>
  </si>
  <si>
    <t>DN150 PVC - Brownfield - Water</t>
  </si>
  <si>
    <t>DN200 PVC - Brownfield - Water</t>
  </si>
  <si>
    <t>DN250 PVC - Brownfield - Water</t>
  </si>
  <si>
    <t>DN300 PVC - Brownfield - Water</t>
  </si>
  <si>
    <t>DN375 PVC - Brownfield - Water</t>
  </si>
  <si>
    <t>CPI Increase</t>
  </si>
  <si>
    <t>% Cost of Capex for Removal</t>
  </si>
  <si>
    <t>% Cost of Exhume &amp; Relay for Relining</t>
  </si>
  <si>
    <t xml:space="preserve">Adjust the green cells as required </t>
  </si>
  <si>
    <t>Sewer Gravity Main</t>
  </si>
  <si>
    <t>Points</t>
  </si>
  <si>
    <t>Asset Life
(Yr)</t>
  </si>
  <si>
    <t>x =</t>
  </si>
  <si>
    <t>y =</t>
  </si>
  <si>
    <t>Unknown</t>
  </si>
  <si>
    <t>Equations</t>
  </si>
  <si>
    <t>From</t>
  </si>
  <si>
    <t>To</t>
  </si>
  <si>
    <t>Percentage</t>
  </si>
  <si>
    <t>Proportion</t>
  </si>
  <si>
    <t>∫ y dx</t>
  </si>
  <si>
    <t>Where:</t>
  </si>
  <si>
    <r>
      <t>y = ax</t>
    </r>
    <r>
      <rPr>
        <b/>
        <vertAlign val="superscript"/>
        <sz val="10"/>
        <color theme="1"/>
        <rFont val="Arial"/>
        <family val="2"/>
      </rPr>
      <t xml:space="preserve">3 </t>
    </r>
    <r>
      <rPr>
        <b/>
        <sz val="10"/>
        <color theme="1"/>
        <rFont val="Arial"/>
        <family val="2"/>
      </rPr>
      <t>+ bx</t>
    </r>
    <r>
      <rPr>
        <b/>
        <vertAlign val="superscript"/>
        <sz val="10"/>
        <color theme="1"/>
        <rFont val="Arial"/>
        <family val="2"/>
      </rPr>
      <t xml:space="preserve">2 </t>
    </r>
    <r>
      <rPr>
        <b/>
        <sz val="10"/>
        <color theme="1"/>
        <rFont val="Arial"/>
        <family val="2"/>
      </rPr>
      <t>+ cx + d</t>
    </r>
  </si>
  <si>
    <t xml:space="preserve">At x = 0, </t>
  </si>
  <si>
    <t xml:space="preserve">y = d = </t>
  </si>
  <si>
    <t>Matrices representing system of linear equations to solve</t>
  </si>
  <si>
    <t>A</t>
  </si>
  <si>
    <t>B</t>
  </si>
  <si>
    <r>
      <t>A</t>
    </r>
    <r>
      <rPr>
        <b/>
        <vertAlign val="superscript"/>
        <sz val="10"/>
        <color theme="1"/>
        <rFont val="Arial"/>
        <family val="2"/>
      </rPr>
      <t>-1</t>
    </r>
  </si>
  <si>
    <t>X</t>
  </si>
  <si>
    <t>Solving for X;</t>
  </si>
  <si>
    <r>
      <t>X = A</t>
    </r>
    <r>
      <rPr>
        <b/>
        <vertAlign val="superscript"/>
        <sz val="10"/>
        <color theme="1"/>
        <rFont val="Arial"/>
        <family val="2"/>
      </rPr>
      <t xml:space="preserve">-1 </t>
    </r>
    <r>
      <rPr>
        <b/>
        <sz val="10"/>
        <color theme="1"/>
        <rFont val="Arial"/>
        <family val="2"/>
      </rPr>
      <t>· B</t>
    </r>
  </si>
  <si>
    <t>Coefficients of y;</t>
  </si>
  <si>
    <t>a =</t>
  </si>
  <si>
    <t>b =</t>
  </si>
  <si>
    <t>c =</t>
  </si>
  <si>
    <t>d =</t>
  </si>
  <si>
    <t>Points solved</t>
  </si>
  <si>
    <t>LIFECYCLE OPERATING COSTS - GRAVITY SEWER MAIN</t>
  </si>
  <si>
    <t>Sewer Pressure Main</t>
  </si>
  <si>
    <t>LIFECYCLE OPERATING COSTS - PRESSURE SEWER MAIN</t>
  </si>
  <si>
    <t>Water Main</t>
  </si>
  <si>
    <t>LIFECYCLE OPERATING COSTS - WATER MAIN</t>
  </si>
  <si>
    <t>THE FOLLOWING WORKSHEETS PROVIDE DETAILED ANNUAL ESTIMATES OF LIFECYCLE OPERATING COSTS FOR DIFFERENT ASSET CLASSES</t>
  </si>
  <si>
    <t>Meter Reading</t>
  </si>
  <si>
    <t>Per meter, per annum</t>
  </si>
  <si>
    <t xml:space="preserve">Based on information provided by the industry regarding previous meter reading quotes and public information. </t>
  </si>
  <si>
    <t xml:space="preserve">There may be economies of scope where a new entrant is already purchasing meter reading services for electricity and/or gas. </t>
  </si>
  <si>
    <t>The density of the meters is likely to impact on the cost to the service provider. For this reason we have considered that manual meter reading would be undertaken for brownfield developments (based on higher density) and remotely read meters for greenfield developments (therefore no meter reading costs factored in through this process)</t>
  </si>
  <si>
    <t>Cum. Lifecycle Cost
($/m)</t>
  </si>
  <si>
    <t xml:space="preserve">REVISED CALCULATION OF REASONABLY EFFICIENT COMPETITOR COSTS </t>
  </si>
  <si>
    <t>Water distribution (likely requirements)</t>
  </si>
  <si>
    <t>Total reticulation capital expenditure (inc. sewerage pumps)</t>
  </si>
  <si>
    <t>Sewerage pump station capital expenditure</t>
  </si>
  <si>
    <t>Sewerage pump stations</t>
  </si>
  <si>
    <t>Water distribution capital expenditure</t>
  </si>
  <si>
    <t>Total Capital Expenditure (exc. Water Distribution)</t>
  </si>
  <si>
    <t>Total Operating Expenditure (exc. Water Distribution)</t>
  </si>
  <si>
    <t>Capex per property (exc. Water Distribution)</t>
  </si>
  <si>
    <t>Opex per property (exc. Water Distribution)</t>
  </si>
  <si>
    <t>Total Capital Expenditure</t>
  </si>
  <si>
    <t>Total Operating Expenditure</t>
  </si>
  <si>
    <t>Management costs</t>
  </si>
  <si>
    <t>Based on $200 for a remote unit and $250 for installation cost</t>
  </si>
  <si>
    <t>Based on $70 for a remote unit and $250 for installation cost</t>
  </si>
  <si>
    <t>Pumps: 25 years
Pipeworks: 50 years
Valves: 30 years
Struct: 100 years
EI&amp;C: 20 years</t>
  </si>
  <si>
    <t>Call centre services - ongoing</t>
  </si>
  <si>
    <t>Call centre services - upfront</t>
  </si>
  <si>
    <t>Retail Non-Meter Retail Operating Expenditure - Initial</t>
  </si>
  <si>
    <t>Retail Non-Meter Retail Operating Expenditure - Ongoing</t>
  </si>
  <si>
    <t>Per customer, per annum</t>
  </si>
  <si>
    <t xml:space="preserve">There are unlikely to be material differences in the unit rates for the size of customers for call centre services. However there is likely to be differences in the unit rates for different scale of the REC (discussed in delivery section). </t>
  </si>
  <si>
    <t xml:space="preserve">Based on quoted information from an outsourcing call centre that has previously provided services to the electricity industry. </t>
  </si>
  <si>
    <t xml:space="preserve">Delivery has been separated depending on the size of the development. We have assumed that the smaller example schemes will maintain the call centre within the management staff resources, however the larger example scheme will require a more complex solution and would therefore outsource the service. </t>
  </si>
  <si>
    <r>
      <t xml:space="preserve">This Excel Spreadsheet provides our revised calculation of reasonably efficient competitor costs based on responses to our report "Calculation of Reasonably Efficient Competitor Costs" which was publicly released with the Independent Pricing and Regulatory Tribunal's Draft Report and Draft Determinations. 
This Excel Spreadsheet sets out benchmark unit rates for a reasonably efficient competitor seeking to enter the water and/or sewerage industries. We have sought to indicate whether certain factors would influence the costs of each of the asset categories and then used these benchmark unit rates in a number of examples scenarios to demonstrate the likely cost to be faced by a new entrant seeking to provide water and/or sewerage services. The assumptions that we have used to cost the example scenarios are contained in the tabs following Example Scenario. 
Annual estimates of operating costs for different assets based on assumed lifycle profiles has also been developed and incorporated within this spreadsheet. 
The associated reports for this spreadsheet are </t>
    </r>
    <r>
      <rPr>
        <i/>
        <sz val="11"/>
        <color theme="1"/>
        <rFont val="Microsoft Sans Serif"/>
        <family val="2"/>
      </rPr>
      <t>"Revised Calculation of Reasonably Efficient Competitor Costs Report"</t>
    </r>
    <r>
      <rPr>
        <sz val="11"/>
        <color theme="1"/>
        <rFont val="Microsoft Sans Serif"/>
        <family val="2"/>
      </rPr>
      <t xml:space="preserve"> and </t>
    </r>
    <r>
      <rPr>
        <i/>
        <sz val="11"/>
        <color theme="1"/>
        <rFont val="Microsoft Sans Serif"/>
        <family val="2"/>
      </rPr>
      <t>"Calculation of Reasonably Efficient Competitor Costs"</t>
    </r>
    <r>
      <rPr>
        <sz val="11"/>
        <color theme="1"/>
        <rFont val="Microsoft Sans Serif"/>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</si>
</sst>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_-&quot;$&quot;* #,##0_-;\-&quot;$&quot;* #,##0_-;_-&quot;$&quot;* &quot;-&quot;??_-;_-@_-"/>
    <numFmt numFmtId="165" formatCode="_-* #,##0_-;\-* #,##0_-;_-* &quot;-&quot;??_-;_-@_-"/>
    <numFmt numFmtId="166" formatCode="_-* #,##0.000_-;\-* #,##0.000_-;_-* &quot;-&quot;??_-;_-@_-"/>
    <numFmt numFmtId="167" formatCode="0.00000000"/>
  </numFmts>
  <fonts count="31"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i/>
      <sz val="11"/>
      <color theme="0" tint="-0.499984740745262"/>
      <name val="Calibri"/>
      <family val="2"/>
      <scheme val="minor"/>
    </font>
    <font>
      <b/>
      <sz val="11"/>
      <name val="Calibri"/>
      <family val="2"/>
      <scheme val="minor"/>
    </font>
    <font>
      <b/>
      <sz val="12"/>
      <color theme="0"/>
      <name val="Calibri"/>
      <family val="2"/>
      <scheme val="minor"/>
    </font>
    <font>
      <sz val="9"/>
      <color indexed="81"/>
      <name val="Tahoma"/>
      <family val="2"/>
    </font>
    <font>
      <b/>
      <sz val="9"/>
      <color indexed="81"/>
      <name val="Tahoma"/>
      <family val="2"/>
    </font>
    <font>
      <b/>
      <sz val="12"/>
      <color rgb="FF09869B"/>
      <name val="Calibri"/>
      <family val="2"/>
      <scheme val="minor"/>
    </font>
    <font>
      <b/>
      <sz val="11"/>
      <color rgb="FFFF0000"/>
      <name val="Calibri"/>
      <family val="2"/>
      <scheme val="minor"/>
    </font>
    <font>
      <i/>
      <sz val="11"/>
      <color theme="0"/>
      <name val="Calibri"/>
      <family val="2"/>
      <scheme val="minor"/>
    </font>
    <font>
      <sz val="11"/>
      <color theme="1"/>
      <name val="Calibri"/>
      <family val="2"/>
      <scheme val="minor"/>
    </font>
    <font>
      <sz val="11"/>
      <name val="Calibri"/>
      <family val="2"/>
      <scheme val="minor"/>
    </font>
    <font>
      <sz val="11"/>
      <color theme="1"/>
      <name val="Microsoft Sans Serif"/>
      <family val="2"/>
    </font>
    <font>
      <b/>
      <u/>
      <sz val="11"/>
      <color theme="1"/>
      <name val="Microsoft Sans Serif"/>
      <family val="2"/>
    </font>
    <font>
      <b/>
      <sz val="16"/>
      <color rgb="FF09869B"/>
      <name val="Microsoft Sans Serif"/>
      <family val="2"/>
    </font>
    <font>
      <b/>
      <u/>
      <sz val="11"/>
      <color rgb="FF09869B"/>
      <name val="Microsoft Sans Serif"/>
      <family val="2"/>
    </font>
    <font>
      <i/>
      <u/>
      <sz val="11"/>
      <color theme="2" tint="-0.499984740745262"/>
      <name val="Microsoft Sans Serif"/>
      <family val="2"/>
    </font>
    <font>
      <sz val="11"/>
      <name val="Microsoft Sans Serif"/>
      <family val="2"/>
    </font>
    <font>
      <u/>
      <sz val="11"/>
      <color theme="1"/>
      <name val="Calibri"/>
      <family val="2"/>
      <scheme val="minor"/>
    </font>
    <font>
      <i/>
      <sz val="11"/>
      <color theme="1"/>
      <name val="Calibri"/>
      <family val="2"/>
      <scheme val="minor"/>
    </font>
    <font>
      <b/>
      <sz val="10"/>
      <color theme="1"/>
      <name val="Arial"/>
      <family val="2"/>
    </font>
    <font>
      <b/>
      <sz val="10"/>
      <color theme="1"/>
      <name val="Microsoft Sans Serif"/>
      <family val="2"/>
    </font>
    <font>
      <sz val="10"/>
      <name val="Microsoft Sans Serif"/>
      <family val="2"/>
    </font>
    <font>
      <b/>
      <vertAlign val="superscript"/>
      <sz val="10"/>
      <color theme="1"/>
      <name val="Arial"/>
      <family val="2"/>
    </font>
    <font>
      <sz val="9"/>
      <color indexed="81"/>
      <name val="Tahoma"/>
      <charset val="1"/>
    </font>
    <font>
      <b/>
      <sz val="9"/>
      <color indexed="81"/>
      <name val="Tahoma"/>
      <charset val="1"/>
    </font>
    <font>
      <i/>
      <sz val="9"/>
      <color indexed="81"/>
      <name val="Tahoma"/>
      <family val="2"/>
    </font>
    <font>
      <sz val="10"/>
      <color theme="1"/>
      <name val="Arial"/>
      <family val="2"/>
    </font>
    <font>
      <i/>
      <sz val="11"/>
      <color theme="1"/>
      <name val="Microsoft Sans Serif"/>
      <family val="2"/>
    </font>
  </fonts>
  <fills count="10">
    <fill>
      <patternFill patternType="none"/>
    </fill>
    <fill>
      <patternFill patternType="gray125"/>
    </fill>
    <fill>
      <patternFill patternType="solid">
        <fgColor rgb="FF09869B"/>
        <bgColor indexed="64"/>
      </patternFill>
    </fill>
    <fill>
      <patternFill patternType="solid">
        <fgColor theme="0"/>
        <bgColor indexed="64"/>
      </patternFill>
    </fill>
    <fill>
      <patternFill patternType="solid">
        <fgColor rgb="FFA4EEFA"/>
        <bgColor indexed="64"/>
      </patternFill>
    </fill>
    <fill>
      <patternFill patternType="solid">
        <fgColor rgb="FF92D05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7999816888943144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ck">
        <color rgb="FF09869B"/>
      </left>
      <right/>
      <top style="thick">
        <color rgb="FF09869B"/>
      </top>
      <bottom/>
      <diagonal/>
    </border>
    <border>
      <left/>
      <right style="thick">
        <color rgb="FF09869B"/>
      </right>
      <top style="thick">
        <color rgb="FF09869B"/>
      </top>
      <bottom/>
      <diagonal/>
    </border>
    <border>
      <left style="thick">
        <color rgb="FF09869B"/>
      </left>
      <right/>
      <top/>
      <bottom/>
      <diagonal/>
    </border>
    <border>
      <left/>
      <right style="thick">
        <color rgb="FF09869B"/>
      </right>
      <top/>
      <bottom/>
      <diagonal/>
    </border>
    <border>
      <left style="thick">
        <color rgb="FF09869B"/>
      </left>
      <right/>
      <top/>
      <bottom style="thick">
        <color rgb="FF09869B"/>
      </bottom>
      <diagonal/>
    </border>
    <border>
      <left style="thin">
        <color rgb="FF09869B"/>
      </left>
      <right style="thick">
        <color rgb="FF09869B"/>
      </right>
      <top/>
      <bottom style="thick">
        <color rgb="FF09869B"/>
      </bottom>
      <diagonal/>
    </border>
    <border>
      <left style="thick">
        <color rgb="FF09869B"/>
      </left>
      <right style="thin">
        <color rgb="FF09869B"/>
      </right>
      <top style="thin">
        <color rgb="FF09869B"/>
      </top>
      <bottom style="thin">
        <color rgb="FF09869B"/>
      </bottom>
      <diagonal/>
    </border>
    <border>
      <left style="thin">
        <color rgb="FF09869B"/>
      </left>
      <right style="thick">
        <color rgb="FF09869B"/>
      </right>
      <top style="thin">
        <color rgb="FF09869B"/>
      </top>
      <bottom style="thin">
        <color rgb="FF09869B"/>
      </bottom>
      <diagonal/>
    </border>
    <border>
      <left style="thick">
        <color rgb="FF09869B"/>
      </left>
      <right/>
      <top style="thin">
        <color rgb="FF09869B"/>
      </top>
      <bottom/>
      <diagonal/>
    </border>
    <border>
      <left/>
      <right style="thick">
        <color rgb="FF09869B"/>
      </right>
      <top style="thin">
        <color rgb="FF09869B"/>
      </top>
      <bottom/>
      <diagonal/>
    </border>
    <border>
      <left style="thick">
        <color rgb="FF09869B"/>
      </left>
      <right/>
      <top/>
      <bottom style="thin">
        <color rgb="FF09869B"/>
      </bottom>
      <diagonal/>
    </border>
    <border>
      <left/>
      <right style="thick">
        <color rgb="FF09869B"/>
      </right>
      <top/>
      <bottom style="thin">
        <color rgb="FF09869B"/>
      </bottom>
      <diagonal/>
    </border>
    <border>
      <left style="thick">
        <color rgb="FF09869B"/>
      </left>
      <right/>
      <top style="thick">
        <color rgb="FF09869B"/>
      </top>
      <bottom style="thin">
        <color rgb="FF09869B"/>
      </bottom>
      <diagonal/>
    </border>
    <border>
      <left/>
      <right style="thick">
        <color rgb="FF09869B"/>
      </right>
      <top style="thick">
        <color rgb="FF09869B"/>
      </top>
      <bottom style="thin">
        <color rgb="FF09869B"/>
      </bottom>
      <diagonal/>
    </border>
    <border>
      <left style="thick">
        <color rgb="FF09869B"/>
      </left>
      <right style="thin">
        <color rgb="FF09869B"/>
      </right>
      <top style="thick">
        <color rgb="FF09869B"/>
      </top>
      <bottom style="thin">
        <color rgb="FF09869B"/>
      </bottom>
      <diagonal/>
    </border>
    <border>
      <left style="thin">
        <color rgb="FF09869B"/>
      </left>
      <right style="thick">
        <color rgb="FF09869B"/>
      </right>
      <top style="thick">
        <color rgb="FF09869B"/>
      </top>
      <bottom style="thin">
        <color rgb="FF09869B"/>
      </bottom>
      <diagonal/>
    </border>
    <border>
      <left style="thin">
        <color rgb="FF09869B"/>
      </left>
      <right style="thin">
        <color rgb="FF09869B"/>
      </right>
      <top style="thin">
        <color rgb="FF09869B"/>
      </top>
      <bottom/>
      <diagonal/>
    </border>
    <border>
      <left style="thin">
        <color rgb="FF09869B"/>
      </left>
      <right style="thin">
        <color rgb="FF09869B"/>
      </right>
      <top/>
      <bottom/>
      <diagonal/>
    </border>
    <border>
      <left style="thin">
        <color rgb="FF09869B"/>
      </left>
      <right style="thin">
        <color rgb="FF09869B"/>
      </right>
      <top/>
      <bottom style="dotted">
        <color rgb="FF09869B"/>
      </bottom>
      <diagonal/>
    </border>
    <border>
      <left style="thin">
        <color rgb="FF09869B"/>
      </left>
      <right style="thin">
        <color rgb="FF09869B"/>
      </right>
      <top style="dotted">
        <color rgb="FF09869B"/>
      </top>
      <bottom style="dotted">
        <color rgb="FF09869B"/>
      </bottom>
      <diagonal/>
    </border>
    <border>
      <left/>
      <right style="thick">
        <color rgb="FF09869B"/>
      </right>
      <top/>
      <bottom style="dotted">
        <color rgb="FF09869B"/>
      </bottom>
      <diagonal/>
    </border>
    <border>
      <left/>
      <right style="thick">
        <color rgb="FF09869B"/>
      </right>
      <top style="dotted">
        <color rgb="FF09869B"/>
      </top>
      <bottom style="dotted">
        <color rgb="FF09869B"/>
      </bottom>
      <diagonal/>
    </border>
    <border>
      <left/>
      <right style="thick">
        <color rgb="FF09869B"/>
      </right>
      <top style="dotted">
        <color rgb="FF09869B"/>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6">
    <xf numFmtId="0" fontId="0" fillId="0" borderId="0"/>
    <xf numFmtId="44" fontId="12" fillId="0" borderId="0" applyFont="0" applyFill="0" applyBorder="0" applyAlignment="0" applyProtection="0"/>
    <xf numFmtId="43" fontId="12" fillId="0" borderId="0" applyFont="0" applyFill="0" applyBorder="0" applyAlignment="0" applyProtection="0"/>
    <xf numFmtId="0" fontId="29" fillId="0" borderId="0"/>
    <xf numFmtId="44" fontId="29" fillId="0" borderId="0" applyFont="0" applyFill="0" applyBorder="0" applyAlignment="0" applyProtection="0"/>
    <xf numFmtId="9" fontId="29" fillId="0" borderId="0" applyFont="0" applyFill="0" applyBorder="0" applyAlignment="0" applyProtection="0"/>
  </cellStyleXfs>
  <cellXfs count="241">
    <xf numFmtId="0" fontId="0" fillId="0" borderId="0" xfId="0"/>
    <xf numFmtId="0" fontId="3" fillId="0" borderId="0" xfId="0" applyFont="1"/>
    <xf numFmtId="0" fontId="4" fillId="0" borderId="0" xfId="0" applyFont="1" applyAlignment="1">
      <alignment wrapText="1"/>
    </xf>
    <xf numFmtId="0" fontId="5" fillId="0" borderId="0" xfId="0" applyFont="1"/>
    <xf numFmtId="0" fontId="0" fillId="0" borderId="1" xfId="0" applyBorder="1"/>
    <xf numFmtId="0" fontId="9" fillId="3" borderId="0" xfId="0" applyFont="1" applyFill="1" applyAlignment="1">
      <alignment horizontal="center"/>
    </xf>
    <xf numFmtId="0" fontId="9" fillId="3" borderId="2" xfId="0" applyFont="1" applyFill="1" applyBorder="1" applyAlignment="1">
      <alignment horizontal="center"/>
    </xf>
    <xf numFmtId="0" fontId="0" fillId="0" borderId="1" xfId="0" applyBorder="1" applyAlignment="1">
      <alignment wrapText="1"/>
    </xf>
    <xf numFmtId="0" fontId="0" fillId="0" borderId="1" xfId="0" applyBorder="1" applyAlignment="1">
      <alignment vertical="center" wrapText="1"/>
    </xf>
    <xf numFmtId="0" fontId="10" fillId="0" borderId="0" xfId="0" applyFont="1" applyAlignment="1">
      <alignment horizontal="right" vertical="center"/>
    </xf>
    <xf numFmtId="0" fontId="0" fillId="0" borderId="9" xfId="0" applyBorder="1" applyAlignment="1">
      <alignment wrapText="1"/>
    </xf>
    <xf numFmtId="0" fontId="0" fillId="0" borderId="10" xfId="0" applyBorder="1" applyAlignment="1">
      <alignment wrapText="1"/>
    </xf>
    <xf numFmtId="0" fontId="0" fillId="0" borderId="10" xfId="0" applyBorder="1"/>
    <xf numFmtId="0" fontId="0" fillId="0" borderId="9" xfId="0" applyBorder="1"/>
    <xf numFmtId="0" fontId="0" fillId="0" borderId="11" xfId="0" applyBorder="1"/>
    <xf numFmtId="0" fontId="0" fillId="0" borderId="12" xfId="0" applyBorder="1"/>
    <xf numFmtId="0" fontId="0" fillId="4" borderId="15" xfId="0" applyFill="1" applyBorder="1"/>
    <xf numFmtId="0" fontId="0" fillId="4" borderId="16" xfId="0" applyFill="1" applyBorder="1"/>
    <xf numFmtId="0" fontId="11" fillId="2" borderId="7" xfId="0" applyFont="1" applyFill="1" applyBorder="1" applyAlignment="1">
      <alignment horizontal="center"/>
    </xf>
    <xf numFmtId="0" fontId="11" fillId="2" borderId="8" xfId="0" applyFont="1" applyFill="1" applyBorder="1" applyAlignment="1">
      <alignment horizontal="center"/>
    </xf>
    <xf numFmtId="0" fontId="0" fillId="4" borderId="13" xfId="0" applyFill="1" applyBorder="1"/>
    <xf numFmtId="0" fontId="0" fillId="4" borderId="14" xfId="0" applyFill="1" applyBorder="1"/>
    <xf numFmtId="0" fontId="0" fillId="0" borderId="1" xfId="0" quotePrefix="1" applyBorder="1" applyAlignment="1">
      <alignment vertical="center" wrapText="1"/>
    </xf>
    <xf numFmtId="44" fontId="0" fillId="0" borderId="1" xfId="1" applyFont="1" applyBorder="1" applyAlignment="1">
      <alignment vertical="center" wrapText="1"/>
    </xf>
    <xf numFmtId="44" fontId="0" fillId="0" borderId="10" xfId="0" applyNumberFormat="1" applyBorder="1"/>
    <xf numFmtId="44" fontId="0" fillId="0" borderId="10" xfId="1" applyFont="1" applyBorder="1"/>
    <xf numFmtId="44" fontId="0" fillId="0" borderId="9" xfId="1" applyFont="1" applyBorder="1"/>
    <xf numFmtId="0" fontId="13" fillId="0" borderId="1" xfId="0" applyFont="1" applyBorder="1" applyAlignment="1">
      <alignment vertical="center" wrapText="1"/>
    </xf>
    <xf numFmtId="0" fontId="13" fillId="0" borderId="1" xfId="0" quotePrefix="1" applyFont="1" applyBorder="1" applyAlignment="1">
      <alignment vertical="center" wrapText="1"/>
    </xf>
    <xf numFmtId="44" fontId="13" fillId="0" borderId="1" xfId="1" applyFont="1" applyBorder="1" applyAlignment="1">
      <alignment vertical="center" wrapText="1"/>
    </xf>
    <xf numFmtId="44" fontId="0" fillId="0" borderId="0" xfId="0" applyNumberFormat="1"/>
    <xf numFmtId="164" fontId="0" fillId="0" borderId="0" xfId="0" applyNumberFormat="1"/>
    <xf numFmtId="164" fontId="0" fillId="0" borderId="9" xfId="0" applyNumberFormat="1" applyBorder="1"/>
    <xf numFmtId="164" fontId="0" fillId="0" borderId="10" xfId="0" applyNumberFormat="1" applyBorder="1"/>
    <xf numFmtId="164" fontId="0" fillId="0" borderId="11" xfId="0" applyNumberFormat="1" applyBorder="1"/>
    <xf numFmtId="164" fontId="0" fillId="0" borderId="12" xfId="0" applyNumberFormat="1" applyBorder="1"/>
    <xf numFmtId="164" fontId="0" fillId="4" borderId="13" xfId="0" applyNumberFormat="1" applyFill="1" applyBorder="1"/>
    <xf numFmtId="164" fontId="0" fillId="4" borderId="14" xfId="0" applyNumberFormat="1" applyFill="1" applyBorder="1"/>
    <xf numFmtId="164" fontId="0" fillId="0" borderId="5" xfId="0" applyNumberFormat="1" applyBorder="1"/>
    <xf numFmtId="164" fontId="0" fillId="0" borderId="6" xfId="0" applyNumberFormat="1" applyBorder="1"/>
    <xf numFmtId="164" fontId="0" fillId="0" borderId="9" xfId="1" applyNumberFormat="1" applyFont="1" applyBorder="1"/>
    <xf numFmtId="164" fontId="0" fillId="0" borderId="10" xfId="1" applyNumberFormat="1" applyFont="1" applyBorder="1"/>
    <xf numFmtId="165" fontId="0" fillId="0" borderId="9" xfId="2" applyNumberFormat="1" applyFont="1" applyBorder="1"/>
    <xf numFmtId="165" fontId="0" fillId="0" borderId="10" xfId="2" applyNumberFormat="1" applyFont="1" applyBorder="1"/>
    <xf numFmtId="0" fontId="13" fillId="0" borderId="9" xfId="0" applyFont="1" applyBorder="1" applyAlignment="1">
      <alignment wrapText="1"/>
    </xf>
    <xf numFmtId="164" fontId="0" fillId="0" borderId="10" xfId="2" applyNumberFormat="1" applyFont="1" applyFill="1" applyBorder="1"/>
    <xf numFmtId="165" fontId="0" fillId="0" borderId="10" xfId="2" applyNumberFormat="1" applyFont="1" applyFill="1" applyBorder="1"/>
    <xf numFmtId="164" fontId="0" fillId="0" borderId="10" xfId="1" applyNumberFormat="1" applyFont="1" applyFill="1" applyBorder="1"/>
    <xf numFmtId="0" fontId="5" fillId="0" borderId="0" xfId="0" applyFont="1" applyFill="1" applyBorder="1" applyAlignment="1">
      <alignment horizontal="right" vertical="center"/>
    </xf>
    <xf numFmtId="164" fontId="0" fillId="0" borderId="7" xfId="1" applyNumberFormat="1" applyFont="1" applyBorder="1"/>
    <xf numFmtId="164" fontId="0" fillId="0" borderId="8" xfId="1" applyNumberFormat="1" applyFont="1" applyBorder="1"/>
    <xf numFmtId="164" fontId="0" fillId="0" borderId="0" xfId="0" applyNumberFormat="1" applyAlignment="1">
      <alignment horizontal="left" vertical="top" wrapText="1"/>
    </xf>
    <xf numFmtId="164" fontId="3" fillId="0" borderId="7" xfId="1" applyNumberFormat="1" applyFont="1" applyBorder="1"/>
    <xf numFmtId="0" fontId="3" fillId="0" borderId="17" xfId="0" applyFont="1" applyBorder="1"/>
    <xf numFmtId="164" fontId="3" fillId="0" borderId="18" xfId="1" applyNumberFormat="1" applyFont="1" applyBorder="1"/>
    <xf numFmtId="164" fontId="5" fillId="0" borderId="17" xfId="1" applyNumberFormat="1" applyFont="1" applyBorder="1" applyAlignment="1">
      <alignment wrapText="1"/>
    </xf>
    <xf numFmtId="164" fontId="3" fillId="0" borderId="18" xfId="1" applyNumberFormat="1" applyFont="1" applyBorder="1" applyAlignment="1">
      <alignment wrapText="1"/>
    </xf>
    <xf numFmtId="0" fontId="0" fillId="0" borderId="0" xfId="0" applyBorder="1"/>
    <xf numFmtId="0" fontId="3" fillId="0" borderId="0" xfId="0" applyFont="1" applyBorder="1" applyAlignment="1">
      <alignment horizontal="right" vertical="center"/>
    </xf>
    <xf numFmtId="0" fontId="0" fillId="0" borderId="0" xfId="0" applyBorder="1" applyAlignment="1">
      <alignment horizontal="right" vertical="center"/>
    </xf>
    <xf numFmtId="0" fontId="0" fillId="0" borderId="0" xfId="0" applyBorder="1" applyAlignment="1">
      <alignment horizontal="right"/>
    </xf>
    <xf numFmtId="0" fontId="2" fillId="0" borderId="0" xfId="0" applyFont="1" applyBorder="1"/>
    <xf numFmtId="0" fontId="14" fillId="0" borderId="0" xfId="0" applyFont="1"/>
    <xf numFmtId="0" fontId="15" fillId="0" borderId="0" xfId="0" applyFont="1"/>
    <xf numFmtId="0" fontId="14" fillId="0" borderId="0" xfId="0" applyFont="1" applyAlignment="1">
      <alignment wrapText="1"/>
    </xf>
    <xf numFmtId="0" fontId="16" fillId="0" borderId="0" xfId="0" applyFont="1"/>
    <xf numFmtId="0" fontId="17" fillId="0" borderId="0" xfId="0" applyFont="1"/>
    <xf numFmtId="0" fontId="18" fillId="0" borderId="0" xfId="0" applyFont="1"/>
    <xf numFmtId="0" fontId="14" fillId="0" borderId="0" xfId="0" applyFont="1" applyAlignment="1">
      <alignment horizontal="right"/>
    </xf>
    <xf numFmtId="0" fontId="19" fillId="0" borderId="0" xfId="0" applyFont="1" applyAlignment="1">
      <alignment wrapText="1"/>
    </xf>
    <xf numFmtId="164" fontId="0" fillId="0" borderId="1" xfId="1" applyNumberFormat="1" applyFont="1" applyBorder="1" applyAlignment="1">
      <alignment vertical="center" wrapText="1"/>
    </xf>
    <xf numFmtId="0" fontId="0" fillId="0" borderId="19" xfId="0" applyBorder="1"/>
    <xf numFmtId="0" fontId="0" fillId="0" borderId="20" xfId="0" applyBorder="1"/>
    <xf numFmtId="0" fontId="0" fillId="0" borderId="21" xfId="0" applyBorder="1" applyAlignment="1">
      <alignment horizontal="center" vertical="center"/>
    </xf>
    <xf numFmtId="0" fontId="0" fillId="0" borderId="21" xfId="0" applyBorder="1"/>
    <xf numFmtId="1" fontId="0" fillId="0" borderId="22" xfId="0" applyNumberFormat="1" applyBorder="1" applyAlignment="1">
      <alignment horizontal="center" vertical="center"/>
    </xf>
    <xf numFmtId="0" fontId="0" fillId="0" borderId="22" xfId="0" applyBorder="1" applyAlignment="1">
      <alignment horizontal="center" vertical="center"/>
    </xf>
    <xf numFmtId="0" fontId="0" fillId="0" borderId="22" xfId="0" applyBorder="1"/>
    <xf numFmtId="0" fontId="13" fillId="0" borderId="22" xfId="0" applyFont="1" applyBorder="1" applyAlignment="1">
      <alignment horizontal="center" vertical="center"/>
    </xf>
    <xf numFmtId="0" fontId="13" fillId="0" borderId="22" xfId="0" applyFont="1" applyBorder="1"/>
    <xf numFmtId="0" fontId="20" fillId="0" borderId="0" xfId="0" applyFont="1" applyAlignment="1">
      <alignment horizontal="center"/>
    </xf>
    <xf numFmtId="0" fontId="3" fillId="0" borderId="0" xfId="0" applyFont="1" applyAlignment="1">
      <alignment horizontal="right" vertical="center"/>
    </xf>
    <xf numFmtId="0" fontId="0" fillId="0" borderId="0" xfId="0" applyAlignment="1">
      <alignment horizontal="right" vertical="center"/>
    </xf>
    <xf numFmtId="0" fontId="3" fillId="0" borderId="23" xfId="0" applyFont="1" applyBorder="1" applyAlignment="1">
      <alignment horizontal="right" vertical="center"/>
    </xf>
    <xf numFmtId="0" fontId="0" fillId="0" borderId="24" xfId="0" applyBorder="1" applyAlignment="1">
      <alignment horizontal="right" vertical="center"/>
    </xf>
    <xf numFmtId="0" fontId="13" fillId="0" borderId="24" xfId="0" applyFont="1" applyBorder="1" applyAlignment="1">
      <alignment horizontal="right" vertical="center"/>
    </xf>
    <xf numFmtId="44" fontId="0" fillId="0" borderId="11" xfId="0" applyNumberFormat="1" applyBorder="1"/>
    <xf numFmtId="44" fontId="0" fillId="0" borderId="12" xfId="0" applyNumberFormat="1" applyBorder="1"/>
    <xf numFmtId="0" fontId="3" fillId="0" borderId="24" xfId="0" applyFont="1" applyBorder="1" applyAlignment="1">
      <alignment horizontal="right" vertical="center"/>
    </xf>
    <xf numFmtId="0" fontId="13" fillId="0" borderId="25" xfId="0" applyFont="1" applyBorder="1" applyAlignment="1">
      <alignment horizontal="right" vertical="center"/>
    </xf>
    <xf numFmtId="0" fontId="0" fillId="0" borderId="0" xfId="0" applyAlignment="1">
      <alignment horizontal="right"/>
    </xf>
    <xf numFmtId="44" fontId="3" fillId="0" borderId="18" xfId="1" applyNumberFormat="1" applyFont="1" applyBorder="1"/>
    <xf numFmtId="0" fontId="14" fillId="0" borderId="1" xfId="0" applyFont="1" applyBorder="1"/>
    <xf numFmtId="0" fontId="14" fillId="0" borderId="0" xfId="0" applyFont="1" applyAlignment="1">
      <alignment vertical="top"/>
    </xf>
    <xf numFmtId="0" fontId="18" fillId="0" borderId="0" xfId="0" applyFont="1" applyAlignment="1">
      <alignment vertical="top"/>
    </xf>
    <xf numFmtId="0" fontId="14" fillId="0" borderId="0" xfId="0" applyFont="1" applyAlignment="1">
      <alignment horizontal="right" vertical="top"/>
    </xf>
    <xf numFmtId="0" fontId="14" fillId="0" borderId="0" xfId="0" applyFont="1" applyAlignment="1">
      <alignment vertical="top" wrapText="1"/>
    </xf>
    <xf numFmtId="0" fontId="14" fillId="0" borderId="0" xfId="0" applyFont="1" applyAlignment="1">
      <alignment horizontal="right" vertical="top" wrapText="1"/>
    </xf>
    <xf numFmtId="0" fontId="19" fillId="0" borderId="0" xfId="0" applyFont="1" applyAlignment="1">
      <alignment vertical="top" wrapText="1"/>
    </xf>
    <xf numFmtId="164" fontId="0" fillId="0" borderId="13" xfId="0" applyNumberFormat="1" applyFill="1" applyBorder="1"/>
    <xf numFmtId="164" fontId="0" fillId="0" borderId="14" xfId="0" applyNumberFormat="1" applyFill="1" applyBorder="1"/>
    <xf numFmtId="44" fontId="13" fillId="0" borderId="1" xfId="1" applyFont="1" applyBorder="1" applyAlignment="1">
      <alignment horizontal="right" vertical="center" wrapText="1"/>
    </xf>
    <xf numFmtId="164" fontId="0" fillId="0" borderId="9" xfId="0" applyNumberFormat="1" applyFill="1" applyBorder="1"/>
    <xf numFmtId="164" fontId="0" fillId="0" borderId="10" xfId="0" applyNumberFormat="1" applyFill="1" applyBorder="1"/>
    <xf numFmtId="164" fontId="3" fillId="0" borderId="8" xfId="1" applyNumberFormat="1" applyFont="1" applyFill="1" applyBorder="1"/>
    <xf numFmtId="44" fontId="3" fillId="0" borderId="8" xfId="1" applyNumberFormat="1" applyFont="1" applyFill="1" applyBorder="1"/>
    <xf numFmtId="166" fontId="0" fillId="0" borderId="0" xfId="2" applyNumberFormat="1" applyFont="1"/>
    <xf numFmtId="0" fontId="21" fillId="0" borderId="0" xfId="0" applyFont="1" applyAlignment="1">
      <alignment horizontal="right" vertical="center"/>
    </xf>
    <xf numFmtId="164" fontId="21" fillId="0" borderId="9" xfId="0" applyNumberFormat="1" applyFont="1" applyFill="1" applyBorder="1"/>
    <xf numFmtId="164" fontId="21" fillId="0" borderId="10" xfId="0" applyNumberFormat="1" applyFont="1" applyFill="1" applyBorder="1"/>
    <xf numFmtId="164" fontId="0" fillId="0" borderId="11" xfId="1" applyNumberFormat="1" applyFont="1" applyBorder="1"/>
    <xf numFmtId="0" fontId="0" fillId="0" borderId="24" xfId="0" applyBorder="1" applyAlignment="1">
      <alignment horizontal="right" vertical="center" wrapText="1"/>
    </xf>
    <xf numFmtId="0" fontId="3" fillId="6" borderId="28" xfId="0" applyFont="1" applyFill="1" applyBorder="1"/>
    <xf numFmtId="0" fontId="3" fillId="6" borderId="30" xfId="0" applyFont="1" applyFill="1" applyBorder="1"/>
    <xf numFmtId="0" fontId="3" fillId="6" borderId="31" xfId="0" applyFont="1" applyFill="1" applyBorder="1"/>
    <xf numFmtId="0" fontId="0" fillId="5" borderId="32" xfId="0" applyFill="1" applyBorder="1"/>
    <xf numFmtId="44" fontId="0" fillId="5" borderId="33" xfId="1" applyFont="1" applyFill="1" applyBorder="1"/>
    <xf numFmtId="0" fontId="0" fillId="5" borderId="34" xfId="0" applyFill="1" applyBorder="1"/>
    <xf numFmtId="44" fontId="12" fillId="5" borderId="33" xfId="1" applyFont="1" applyFill="1" applyBorder="1"/>
    <xf numFmtId="0" fontId="0" fillId="5" borderId="35" xfId="0" applyFill="1" applyBorder="1" applyAlignment="1">
      <alignment wrapText="1"/>
    </xf>
    <xf numFmtId="0" fontId="0" fillId="0" borderId="36" xfId="0" applyBorder="1"/>
    <xf numFmtId="44" fontId="0" fillId="0" borderId="37" xfId="1" applyFont="1" applyBorder="1"/>
    <xf numFmtId="0" fontId="0" fillId="0" borderId="38" xfId="0" applyBorder="1"/>
    <xf numFmtId="44" fontId="12" fillId="0" borderId="37" xfId="1" applyFont="1" applyBorder="1"/>
    <xf numFmtId="0" fontId="0" fillId="0" borderId="38" xfId="0" quotePrefix="1" applyBorder="1"/>
    <xf numFmtId="0" fontId="0" fillId="0" borderId="39" xfId="0" applyBorder="1"/>
    <xf numFmtId="0" fontId="0" fillId="5" borderId="36" xfId="0" applyFill="1" applyBorder="1"/>
    <xf numFmtId="44" fontId="0" fillId="5" borderId="37" xfId="1" applyFont="1" applyFill="1" applyBorder="1"/>
    <xf numFmtId="0" fontId="0" fillId="5" borderId="38" xfId="0" applyFill="1" applyBorder="1"/>
    <xf numFmtId="44" fontId="12" fillId="5" borderId="37" xfId="1" applyFont="1" applyFill="1" applyBorder="1"/>
    <xf numFmtId="0" fontId="0" fillId="5" borderId="39" xfId="0" applyFill="1" applyBorder="1"/>
    <xf numFmtId="0" fontId="0" fillId="5" borderId="39" xfId="0" applyFill="1" applyBorder="1" applyAlignment="1">
      <alignment wrapText="1"/>
    </xf>
    <xf numFmtId="0" fontId="0" fillId="0" borderId="37" xfId="0" applyBorder="1"/>
    <xf numFmtId="0" fontId="0" fillId="0" borderId="40" xfId="0" applyBorder="1"/>
    <xf numFmtId="44" fontId="0" fillId="0" borderId="41" xfId="1" applyFont="1" applyBorder="1"/>
    <xf numFmtId="0" fontId="0" fillId="0" borderId="42" xfId="0" applyBorder="1"/>
    <xf numFmtId="0" fontId="0" fillId="0" borderId="41" xfId="0" applyBorder="1"/>
    <xf numFmtId="44" fontId="12" fillId="0" borderId="41" xfId="1" applyFont="1" applyBorder="1"/>
    <xf numFmtId="0" fontId="0" fillId="0" borderId="43" xfId="0" applyBorder="1"/>
    <xf numFmtId="0" fontId="3" fillId="6" borderId="29" xfId="0" applyFont="1" applyFill="1" applyBorder="1" applyAlignment="1">
      <alignment horizontal="center"/>
    </xf>
    <xf numFmtId="0" fontId="3" fillId="6" borderId="30" xfId="0" applyFont="1" applyFill="1" applyBorder="1" applyAlignment="1">
      <alignment horizontal="center"/>
    </xf>
    <xf numFmtId="0" fontId="14" fillId="0" borderId="0" xfId="0" applyFont="1" applyBorder="1"/>
    <xf numFmtId="0" fontId="23" fillId="7" borderId="46" xfId="0" applyFont="1" applyFill="1" applyBorder="1" applyAlignment="1">
      <alignment horizontal="center" vertical="center"/>
    </xf>
    <xf numFmtId="0" fontId="23" fillId="7" borderId="47" xfId="0" applyFont="1" applyFill="1" applyBorder="1" applyAlignment="1">
      <alignment horizontal="center" vertical="center"/>
    </xf>
    <xf numFmtId="0" fontId="23" fillId="7" borderId="48" xfId="0" applyFont="1" applyFill="1" applyBorder="1" applyAlignment="1">
      <alignment horizontal="center" vertical="center" wrapText="1"/>
    </xf>
    <xf numFmtId="0" fontId="23" fillId="7" borderId="49" xfId="0" applyFont="1" applyFill="1" applyBorder="1"/>
    <xf numFmtId="0" fontId="23" fillId="7" borderId="46" xfId="0" applyFont="1" applyFill="1" applyBorder="1" applyAlignment="1">
      <alignment horizontal="center" wrapText="1"/>
    </xf>
    <xf numFmtId="0" fontId="23" fillId="7" borderId="47" xfId="0" applyFont="1" applyFill="1" applyBorder="1" applyAlignment="1">
      <alignment horizontal="center" wrapText="1"/>
    </xf>
    <xf numFmtId="0" fontId="23" fillId="7" borderId="48" xfId="0" applyFont="1" applyFill="1" applyBorder="1" applyAlignment="1">
      <alignment horizontal="center" wrapText="1"/>
    </xf>
    <xf numFmtId="44" fontId="23" fillId="7" borderId="49" xfId="1" applyFont="1" applyFill="1" applyBorder="1" applyAlignment="1">
      <alignment horizontal="center" wrapText="1"/>
    </xf>
    <xf numFmtId="0" fontId="23" fillId="7" borderId="49" xfId="0" applyFont="1" applyFill="1" applyBorder="1" applyAlignment="1">
      <alignment horizontal="center" wrapText="1"/>
    </xf>
    <xf numFmtId="0" fontId="14" fillId="0" borderId="33" xfId="0" applyFont="1" applyBorder="1"/>
    <xf numFmtId="0" fontId="14" fillId="0" borderId="50" xfId="0" applyFont="1" applyBorder="1"/>
    <xf numFmtId="0" fontId="24" fillId="0" borderId="50" xfId="0" applyFont="1" applyBorder="1" applyAlignment="1">
      <alignment horizontal="center" vertical="center"/>
    </xf>
    <xf numFmtId="44" fontId="24" fillId="0" borderId="34" xfId="1" applyFont="1" applyBorder="1"/>
    <xf numFmtId="44" fontId="24" fillId="7" borderId="49" xfId="1" applyFont="1" applyFill="1" applyBorder="1"/>
    <xf numFmtId="44" fontId="24" fillId="0" borderId="33" xfId="1" applyFont="1" applyBorder="1"/>
    <xf numFmtId="44" fontId="14" fillId="5" borderId="51" xfId="1" applyFont="1" applyFill="1" applyBorder="1"/>
    <xf numFmtId="0" fontId="14" fillId="0" borderId="51" xfId="0" applyFont="1" applyBorder="1" applyAlignment="1">
      <alignment horizontal="center" vertical="center"/>
    </xf>
    <xf numFmtId="0" fontId="14" fillId="0" borderId="37" xfId="0" applyFont="1" applyBorder="1"/>
    <xf numFmtId="0" fontId="24" fillId="0" borderId="1" xfId="0" applyFont="1" applyBorder="1" applyAlignment="1">
      <alignment horizontal="center" vertical="center"/>
    </xf>
    <xf numFmtId="44" fontId="24" fillId="0" borderId="38" xfId="1" applyFont="1" applyBorder="1"/>
    <xf numFmtId="44" fontId="24" fillId="7" borderId="52" xfId="1" applyFont="1" applyFill="1" applyBorder="1"/>
    <xf numFmtId="44" fontId="24" fillId="0" borderId="1" xfId="1" applyFont="1" applyBorder="1"/>
    <xf numFmtId="44" fontId="14" fillId="5" borderId="53" xfId="1" applyFont="1" applyFill="1" applyBorder="1"/>
    <xf numFmtId="0" fontId="14" fillId="0" borderId="53" xfId="0" applyFont="1" applyBorder="1" applyAlignment="1">
      <alignment horizontal="center" vertical="center"/>
    </xf>
    <xf numFmtId="44" fontId="14" fillId="0" borderId="53" xfId="1" applyFont="1" applyFill="1" applyBorder="1"/>
    <xf numFmtId="44" fontId="24" fillId="5" borderId="53" xfId="1" applyFont="1" applyFill="1" applyBorder="1"/>
    <xf numFmtId="0" fontId="24" fillId="0" borderId="37" xfId="0" applyFont="1" applyBorder="1"/>
    <xf numFmtId="0" fontId="24" fillId="0" borderId="1" xfId="0" applyFont="1" applyBorder="1"/>
    <xf numFmtId="0" fontId="24" fillId="0" borderId="53" xfId="0" applyFont="1" applyBorder="1" applyAlignment="1">
      <alignment horizontal="center" vertical="center"/>
    </xf>
    <xf numFmtId="0" fontId="24" fillId="0" borderId="41" xfId="0" applyFont="1" applyBorder="1"/>
    <xf numFmtId="0" fontId="24" fillId="0" borderId="54" xfId="0" applyFont="1" applyBorder="1"/>
    <xf numFmtId="0" fontId="24" fillId="0" borderId="54" xfId="0" applyFont="1" applyBorder="1" applyAlignment="1">
      <alignment horizontal="center" vertical="center"/>
    </xf>
    <xf numFmtId="44" fontId="24" fillId="0" borderId="42" xfId="1" applyFont="1" applyBorder="1"/>
    <xf numFmtId="44" fontId="24" fillId="7" borderId="55" xfId="1" applyFont="1" applyFill="1" applyBorder="1"/>
    <xf numFmtId="44" fontId="24" fillId="0" borderId="54" xfId="1" applyFont="1" applyBorder="1"/>
    <xf numFmtId="44" fontId="24" fillId="5" borderId="56" xfId="1" applyFont="1" applyFill="1" applyBorder="1"/>
    <xf numFmtId="0" fontId="24" fillId="0" borderId="56" xfId="0" applyFont="1" applyBorder="1" applyAlignment="1">
      <alignment horizontal="center" vertical="center"/>
    </xf>
    <xf numFmtId="10" fontId="14" fillId="8" borderId="26" xfId="0" applyNumberFormat="1" applyFont="1" applyFill="1" applyBorder="1" applyAlignment="1">
      <alignment horizontal="right"/>
    </xf>
    <xf numFmtId="10" fontId="14" fillId="8" borderId="27" xfId="0" applyNumberFormat="1" applyFont="1" applyFill="1" applyBorder="1" applyAlignment="1">
      <alignment horizontal="center" vertical="center"/>
    </xf>
    <xf numFmtId="0" fontId="14" fillId="8" borderId="57" xfId="0" applyFont="1" applyFill="1" applyBorder="1" applyAlignment="1">
      <alignment horizontal="right"/>
    </xf>
    <xf numFmtId="9" fontId="14" fillId="8" borderId="58" xfId="0" applyNumberFormat="1" applyFont="1" applyFill="1" applyBorder="1" applyAlignment="1">
      <alignment horizontal="center" vertical="center"/>
    </xf>
    <xf numFmtId="0" fontId="14" fillId="8" borderId="59" xfId="0" applyFont="1" applyFill="1" applyBorder="1" applyAlignment="1">
      <alignment horizontal="right"/>
    </xf>
    <xf numFmtId="9" fontId="14" fillId="8" borderId="60" xfId="0" applyNumberFormat="1" applyFont="1" applyFill="1" applyBorder="1" applyAlignment="1">
      <alignment horizontal="center" vertical="center"/>
    </xf>
    <xf numFmtId="44" fontId="24" fillId="0" borderId="50" xfId="1" applyFont="1" applyBorder="1"/>
    <xf numFmtId="0" fontId="22" fillId="9" borderId="1" xfId="0" applyFont="1" applyFill="1" applyBorder="1" applyAlignment="1">
      <alignment horizontal="center" wrapText="1"/>
    </xf>
    <xf numFmtId="0" fontId="22" fillId="0" borderId="1" xfId="0" applyFont="1" applyBorder="1" applyAlignment="1">
      <alignment horizontal="center"/>
    </xf>
    <xf numFmtId="0" fontId="0" fillId="9" borderId="1" xfId="0" applyFill="1" applyBorder="1" applyAlignment="1">
      <alignment horizontal="center"/>
    </xf>
    <xf numFmtId="0" fontId="22" fillId="0" borderId="0" xfId="0" applyFont="1" applyAlignment="1">
      <alignment horizontal="right"/>
    </xf>
    <xf numFmtId="0" fontId="0" fillId="0" borderId="1" xfId="0" applyBorder="1" applyAlignment="1">
      <alignment horizontal="center"/>
    </xf>
    <xf numFmtId="0" fontId="0" fillId="5" borderId="1" xfId="0" applyFill="1" applyBorder="1" applyAlignment="1">
      <alignment horizontal="center"/>
    </xf>
    <xf numFmtId="0" fontId="22" fillId="0" borderId="1" xfId="0" applyFont="1" applyBorder="1"/>
    <xf numFmtId="9" fontId="0" fillId="0" borderId="1" xfId="0" applyNumberFormat="1" applyBorder="1"/>
    <xf numFmtId="0" fontId="0" fillId="5" borderId="1" xfId="0" applyNumberFormat="1" applyFill="1" applyBorder="1"/>
    <xf numFmtId="9" fontId="0" fillId="5" borderId="1" xfId="0" applyNumberFormat="1" applyFill="1" applyBorder="1"/>
    <xf numFmtId="0" fontId="0" fillId="0" borderId="1" xfId="0" applyNumberFormat="1" applyBorder="1"/>
    <xf numFmtId="0" fontId="0" fillId="0" borderId="0" xfId="0" applyAlignment="1">
      <alignment horizontal="center"/>
    </xf>
    <xf numFmtId="9" fontId="0" fillId="0" borderId="0" xfId="0" applyNumberFormat="1"/>
    <xf numFmtId="0" fontId="22" fillId="0" borderId="0" xfId="0" applyFont="1" applyFill="1" applyBorder="1" applyAlignment="1">
      <alignment horizontal="left"/>
    </xf>
    <xf numFmtId="0" fontId="22" fillId="0" borderId="0" xfId="0" applyFont="1"/>
    <xf numFmtId="0" fontId="0" fillId="0" borderId="0" xfId="0" applyFill="1" applyAlignment="1">
      <alignment horizontal="left"/>
    </xf>
    <xf numFmtId="2" fontId="0" fillId="0" borderId="63" xfId="0" applyNumberFormat="1" applyBorder="1"/>
    <xf numFmtId="2" fontId="0" fillId="0" borderId="0" xfId="0" applyNumberFormat="1"/>
    <xf numFmtId="2" fontId="0" fillId="0" borderId="64" xfId="0" applyNumberFormat="1" applyBorder="1"/>
    <xf numFmtId="2" fontId="0" fillId="0" borderId="65" xfId="0" applyNumberFormat="1" applyBorder="1"/>
    <xf numFmtId="167" fontId="0" fillId="0" borderId="63" xfId="0" applyNumberFormat="1" applyBorder="1"/>
    <xf numFmtId="167" fontId="0" fillId="0" borderId="0" xfId="0" applyNumberFormat="1" applyBorder="1"/>
    <xf numFmtId="167" fontId="0" fillId="0" borderId="64" xfId="0" applyNumberFormat="1" applyBorder="1"/>
    <xf numFmtId="0" fontId="0" fillId="0" borderId="65" xfId="0" applyBorder="1"/>
    <xf numFmtId="0" fontId="22" fillId="0" borderId="0" xfId="0" applyFont="1" applyAlignment="1">
      <alignment horizontal="center"/>
    </xf>
    <xf numFmtId="0" fontId="0" fillId="0" borderId="1" xfId="0" applyFill="1" applyBorder="1" applyAlignment="1">
      <alignment horizontal="center"/>
    </xf>
    <xf numFmtId="2" fontId="0" fillId="0" borderId="1" xfId="0" applyNumberFormat="1" applyBorder="1" applyAlignment="1">
      <alignment horizontal="center"/>
    </xf>
    <xf numFmtId="0" fontId="16" fillId="0" borderId="0" xfId="0" applyFont="1" applyAlignment="1">
      <alignment horizontal="center" wrapText="1"/>
    </xf>
    <xf numFmtId="44" fontId="13" fillId="0" borderId="1" xfId="1" applyFont="1" applyFill="1" applyBorder="1" applyAlignment="1">
      <alignment vertical="center" wrapText="1"/>
    </xf>
    <xf numFmtId="44" fontId="14" fillId="0" borderId="53" xfId="1" applyFont="1" applyFill="1" applyBorder="1" applyAlignment="1">
      <alignment horizontal="center" vertical="center"/>
    </xf>
    <xf numFmtId="44" fontId="0" fillId="9" borderId="1" xfId="1" applyFont="1" applyFill="1" applyBorder="1" applyAlignment="1">
      <alignment horizontal="center"/>
    </xf>
    <xf numFmtId="2" fontId="0" fillId="0" borderId="22" xfId="0" applyNumberFormat="1" applyBorder="1" applyAlignment="1">
      <alignment horizontal="center" vertical="center"/>
    </xf>
    <xf numFmtId="0" fontId="0" fillId="0" borderId="1" xfId="0" applyFill="1" applyBorder="1" applyAlignment="1">
      <alignment vertical="center" wrapText="1"/>
    </xf>
    <xf numFmtId="0" fontId="6" fillId="2" borderId="0" xfId="0" applyFont="1" applyFill="1" applyAlignment="1">
      <alignment horizontal="center" vertical="center"/>
    </xf>
    <xf numFmtId="0" fontId="6" fillId="2" borderId="0" xfId="0" applyFont="1" applyFill="1" applyAlignment="1">
      <alignment horizont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0" fillId="0" borderId="42" xfId="0" applyBorder="1" applyAlignment="1">
      <alignment horizontal="center" vertical="center" wrapText="1"/>
    </xf>
    <xf numFmtId="0" fontId="3" fillId="6" borderId="26" xfId="0" applyFont="1" applyFill="1" applyBorder="1" applyAlignment="1">
      <alignment horizontal="center"/>
    </xf>
    <xf numFmtId="0" fontId="3" fillId="6" borderId="27" xfId="0" applyFont="1" applyFill="1" applyBorder="1" applyAlignment="1">
      <alignment horizontal="center"/>
    </xf>
    <xf numFmtId="0" fontId="23" fillId="7" borderId="28" xfId="0" applyFont="1" applyFill="1" applyBorder="1" applyAlignment="1">
      <alignment horizontal="center"/>
    </xf>
    <xf numFmtId="0" fontId="23" fillId="7" borderId="44" xfId="0" applyFont="1" applyFill="1" applyBorder="1" applyAlignment="1">
      <alignment horizontal="center"/>
    </xf>
    <xf numFmtId="0" fontId="23" fillId="7" borderId="45" xfId="0" applyFont="1" applyFill="1" applyBorder="1" applyAlignment="1">
      <alignment horizontal="center"/>
    </xf>
    <xf numFmtId="0" fontId="0" fillId="0" borderId="0" xfId="0" applyAlignment="1">
      <alignment horizontal="left" vertical="top" wrapText="1"/>
    </xf>
    <xf numFmtId="0" fontId="22" fillId="0" borderId="1" xfId="0" applyFont="1" applyBorder="1" applyAlignment="1">
      <alignment horizontal="center"/>
    </xf>
    <xf numFmtId="0" fontId="22" fillId="0" borderId="0" xfId="0" applyFont="1" applyAlignment="1">
      <alignment horizontal="left"/>
    </xf>
    <xf numFmtId="9" fontId="0" fillId="0" borderId="61" xfId="0" applyNumberFormat="1" applyBorder="1" applyAlignment="1">
      <alignment horizontal="right"/>
    </xf>
    <xf numFmtId="9" fontId="0" fillId="0" borderId="62" xfId="0" applyNumberFormat="1" applyBorder="1" applyAlignment="1">
      <alignment horizontal="right"/>
    </xf>
    <xf numFmtId="9" fontId="0" fillId="0" borderId="39" xfId="0" applyNumberFormat="1" applyBorder="1" applyAlignment="1">
      <alignment horizontal="right"/>
    </xf>
    <xf numFmtId="0" fontId="22" fillId="0" borderId="0" xfId="0" applyFont="1" applyAlignment="1">
      <alignment horizontal="center"/>
    </xf>
    <xf numFmtId="0" fontId="22" fillId="9" borderId="61" xfId="0" applyFont="1" applyFill="1" applyBorder="1" applyAlignment="1">
      <alignment horizontal="center"/>
    </xf>
    <xf numFmtId="0" fontId="22" fillId="9" borderId="39" xfId="0" applyFont="1" applyFill="1" applyBorder="1" applyAlignment="1">
      <alignment horizontal="center"/>
    </xf>
    <xf numFmtId="0" fontId="22" fillId="9" borderId="1" xfId="0" applyFont="1" applyFill="1" applyBorder="1" applyAlignment="1">
      <alignment horizontal="center"/>
    </xf>
  </cellXfs>
  <cellStyles count="6">
    <cellStyle name="Comma" xfId="2" builtinId="3"/>
    <cellStyle name="Currency" xfId="1" builtinId="4"/>
    <cellStyle name="Currency 2" xfId="4"/>
    <cellStyle name="Normal" xfId="0" builtinId="0"/>
    <cellStyle name="Normal 2" xfId="3"/>
    <cellStyle name="Percent 2" xfId="5"/>
  </cellStyles>
  <dxfs count="3">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9869B"/>
      <color rgb="FFA4EEFA"/>
      <color rgb="FF6AE2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Annual life cycle cost over asset life</a:t>
            </a:r>
          </a:p>
        </c:rich>
      </c:tx>
      <c:overlay val="0"/>
      <c:spPr>
        <a:noFill/>
        <a:ln>
          <a:noFill/>
        </a:ln>
        <a:effectLst/>
      </c:spPr>
    </c:title>
    <c:autoTitleDeleted val="0"/>
    <c:plotArea>
      <c:layout/>
      <c:scatterChart>
        <c:scatterStyle val="lineMarker"/>
        <c:varyColors val="0"/>
        <c:ser>
          <c:idx val="0"/>
          <c:order val="0"/>
          <c:spPr>
            <a:ln w="6350" cap="rnd">
              <a:solidFill>
                <a:srgbClr val="C00000"/>
              </a:solidFill>
              <a:round/>
            </a:ln>
            <a:effectLst/>
          </c:spPr>
          <c:marker>
            <c:symbol val="circle"/>
            <c:size val="3"/>
            <c:spPr>
              <a:solidFill>
                <a:srgbClr val="C00000"/>
              </a:solidFill>
              <a:ln w="9525">
                <a:solidFill>
                  <a:srgbClr val="C00000"/>
                </a:solidFill>
              </a:ln>
              <a:effectLst/>
            </c:spPr>
          </c:marker>
          <c:trendline>
            <c:spPr>
              <a:ln w="19050" cap="rnd">
                <a:solidFill>
                  <a:schemeClr val="accent1"/>
                </a:solidFill>
                <a:prstDash val="sysDot"/>
              </a:ln>
              <a:effectLst/>
            </c:spPr>
            <c:trendlineType val="poly"/>
            <c:order val="3"/>
            <c:dispRSqr val="0"/>
            <c:dispEq val="0"/>
          </c:trendline>
          <c:trendline>
            <c:spPr>
              <a:ln w="19050" cap="rnd">
                <a:solidFill>
                  <a:schemeClr val="accent1"/>
                </a:solidFill>
                <a:prstDash val="sysDot"/>
              </a:ln>
              <a:effectLst/>
            </c:spPr>
            <c:trendlineType val="poly"/>
            <c:order val="3"/>
            <c:dispRSqr val="0"/>
            <c:dispEq val="0"/>
          </c:trendline>
          <c:xVal>
            <c:numRef>
              <c:f>[1]Sheet1!$H$5:$H$105</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xVal>
          <c:yVal>
            <c:numRef>
              <c:f>[1]Sheet1!$I$5:$I$105</c:f>
              <c:numCache>
                <c:formatCode>General</c:formatCode>
                <c:ptCount val="101"/>
                <c:pt idx="0">
                  <c:v>0.76</c:v>
                </c:pt>
                <c:pt idx="1">
                  <c:v>0.78984721806818181</c:v>
                </c:pt>
                <c:pt idx="2">
                  <c:v>0.81721522863636364</c:v>
                </c:pt>
                <c:pt idx="3">
                  <c:v>0.84220867988636372</c:v>
                </c:pt>
                <c:pt idx="4">
                  <c:v>0.86493222000000003</c:v>
                </c:pt>
                <c:pt idx="5">
                  <c:v>0.88549049715909089</c:v>
                </c:pt>
                <c:pt idx="6">
                  <c:v>0.90398815954545464</c:v>
                </c:pt>
                <c:pt idx="7">
                  <c:v>0.92052985534090914</c:v>
                </c:pt>
                <c:pt idx="8">
                  <c:v>0.93522023272727284</c:v>
                </c:pt>
                <c:pt idx="9">
                  <c:v>0.94816393988636372</c:v>
                </c:pt>
                <c:pt idx="10">
                  <c:v>0.95946562499999999</c:v>
                </c:pt>
                <c:pt idx="11">
                  <c:v>0.96922993625000009</c:v>
                </c:pt>
                <c:pt idx="12">
                  <c:v>0.9775615218181819</c:v>
                </c:pt>
                <c:pt idx="13">
                  <c:v>0.98456502988636374</c:v>
                </c:pt>
                <c:pt idx="14">
                  <c:v>0.99034510863636371</c:v>
                </c:pt>
                <c:pt idx="15">
                  <c:v>0.99500640625000014</c:v>
                </c:pt>
                <c:pt idx="16">
                  <c:v>0.99865357090909102</c:v>
                </c:pt>
                <c:pt idx="17">
                  <c:v>1.0013912507954548</c:v>
                </c:pt>
                <c:pt idx="18">
                  <c:v>1.0033240940909092</c:v>
                </c:pt>
                <c:pt idx="19">
                  <c:v>1.0045567489772729</c:v>
                </c:pt>
                <c:pt idx="20">
                  <c:v>1.0051938636363635</c:v>
                </c:pt>
                <c:pt idx="21">
                  <c:v>1.0053400862500002</c:v>
                </c:pt>
                <c:pt idx="22">
                  <c:v>1.0051000650000002</c:v>
                </c:pt>
                <c:pt idx="23">
                  <c:v>1.0045784480681819</c:v>
                </c:pt>
                <c:pt idx="24">
                  <c:v>1.0038798836363638</c:v>
                </c:pt>
                <c:pt idx="25">
                  <c:v>1.0031090198863639</c:v>
                </c:pt>
                <c:pt idx="26">
                  <c:v>1.002370505</c:v>
                </c:pt>
                <c:pt idx="27">
                  <c:v>1.0017689871590911</c:v>
                </c:pt>
                <c:pt idx="28">
                  <c:v>1.0014091145454547</c:v>
                </c:pt>
                <c:pt idx="29">
                  <c:v>1.0013955353409094</c:v>
                </c:pt>
                <c:pt idx="30">
                  <c:v>1.0018328977272728</c:v>
                </c:pt>
                <c:pt idx="31">
                  <c:v>1.0028258498863636</c:v>
                </c:pt>
                <c:pt idx="32">
                  <c:v>1.0044790400000001</c:v>
                </c:pt>
                <c:pt idx="33">
                  <c:v>1.0068971162500002</c:v>
                </c:pt>
                <c:pt idx="34">
                  <c:v>1.0101847268181821</c:v>
                </c:pt>
                <c:pt idx="35">
                  <c:v>1.0144465198863637</c:v>
                </c:pt>
                <c:pt idx="36">
                  <c:v>1.0197871436363637</c:v>
                </c:pt>
                <c:pt idx="37">
                  <c:v>1.0263112462500001</c:v>
                </c:pt>
                <c:pt idx="38">
                  <c:v>1.0341234759090909</c:v>
                </c:pt>
                <c:pt idx="39">
                  <c:v>1.0433284807954546</c:v>
                </c:pt>
                <c:pt idx="40">
                  <c:v>1.0540309090909088</c:v>
                </c:pt>
                <c:pt idx="41">
                  <c:v>1.0663354089772725</c:v>
                </c:pt>
                <c:pt idx="42">
                  <c:v>1.0803466286363637</c:v>
                </c:pt>
                <c:pt idx="43">
                  <c:v>1.0961692162499999</c:v>
                </c:pt>
                <c:pt idx="44">
                  <c:v>1.1139078199999999</c:v>
                </c:pt>
                <c:pt idx="45">
                  <c:v>1.1336670880681818</c:v>
                </c:pt>
                <c:pt idx="46">
                  <c:v>1.1555516686363632</c:v>
                </c:pt>
                <c:pt idx="47">
                  <c:v>1.1796662098863635</c:v>
                </c:pt>
                <c:pt idx="48">
                  <c:v>1.2061153599999999</c:v>
                </c:pt>
                <c:pt idx="49">
                  <c:v>1.2350037671590908</c:v>
                </c:pt>
                <c:pt idx="50">
                  <c:v>1.2664360795454543</c:v>
                </c:pt>
                <c:pt idx="51">
                  <c:v>1.3005169453409089</c:v>
                </c:pt>
                <c:pt idx="52">
                  <c:v>1.3373510127272723</c:v>
                </c:pt>
                <c:pt idx="53">
                  <c:v>1.3770429298863631</c:v>
                </c:pt>
                <c:pt idx="54">
                  <c:v>1.4196973449999997</c:v>
                </c:pt>
                <c:pt idx="55">
                  <c:v>1.4654189062499998</c:v>
                </c:pt>
                <c:pt idx="56">
                  <c:v>1.514312261818181</c:v>
                </c:pt>
                <c:pt idx="57">
                  <c:v>1.5664820598863627</c:v>
                </c:pt>
                <c:pt idx="58">
                  <c:v>1.6220329486363636</c:v>
                </c:pt>
                <c:pt idx="59">
                  <c:v>1.6810695762499996</c:v>
                </c:pt>
                <c:pt idx="60">
                  <c:v>1.74369659090909</c:v>
                </c:pt>
                <c:pt idx="61">
                  <c:v>1.8100186407954544</c:v>
                </c:pt>
                <c:pt idx="62">
                  <c:v>1.8801403740909077</c:v>
                </c:pt>
                <c:pt idx="63">
                  <c:v>1.9541664389772715</c:v>
                </c:pt>
                <c:pt idx="64">
                  <c:v>2.0322014836363627</c:v>
                </c:pt>
                <c:pt idx="65">
                  <c:v>2.1143501562499987</c:v>
                </c:pt>
                <c:pt idx="66">
                  <c:v>2.200717104999999</c:v>
                </c:pt>
                <c:pt idx="67">
                  <c:v>2.2914069780681805</c:v>
                </c:pt>
                <c:pt idx="68">
                  <c:v>2.386524423636363</c:v>
                </c:pt>
                <c:pt idx="69">
                  <c:v>2.4861740898863625</c:v>
                </c:pt>
                <c:pt idx="70">
                  <c:v>2.5904606249999995</c:v>
                </c:pt>
                <c:pt idx="71">
                  <c:v>2.6994886771590902</c:v>
                </c:pt>
                <c:pt idx="72">
                  <c:v>2.8133628945454534</c:v>
                </c:pt>
                <c:pt idx="73">
                  <c:v>2.9321879253409078</c:v>
                </c:pt>
                <c:pt idx="74">
                  <c:v>3.0560684177272721</c:v>
                </c:pt>
                <c:pt idx="75">
                  <c:v>3.1851090198863625</c:v>
                </c:pt>
                <c:pt idx="76">
                  <c:v>3.3194143799999987</c:v>
                </c:pt>
                <c:pt idx="77">
                  <c:v>3.4590891462499993</c:v>
                </c:pt>
                <c:pt idx="78">
                  <c:v>3.6042379668181805</c:v>
                </c:pt>
                <c:pt idx="79">
                  <c:v>3.7549654898863629</c:v>
                </c:pt>
                <c:pt idx="80">
                  <c:v>3.9113763636363608</c:v>
                </c:pt>
                <c:pt idx="81">
                  <c:v>4.0735752362499982</c:v>
                </c:pt>
                <c:pt idx="82">
                  <c:v>4.2416667559090886</c:v>
                </c:pt>
                <c:pt idx="83">
                  <c:v>4.4157555707954517</c:v>
                </c:pt>
                <c:pt idx="84">
                  <c:v>4.5959463290909071</c:v>
                </c:pt>
                <c:pt idx="85">
                  <c:v>4.7823436789772709</c:v>
                </c:pt>
                <c:pt idx="86">
                  <c:v>4.975052268636361</c:v>
                </c:pt>
                <c:pt idx="87">
                  <c:v>5.174176746249997</c:v>
                </c:pt>
                <c:pt idx="88">
                  <c:v>5.3798217599999969</c:v>
                </c:pt>
                <c:pt idx="89">
                  <c:v>5.5920919580681785</c:v>
                </c:pt>
                <c:pt idx="90">
                  <c:v>5.8110919886363614</c:v>
                </c:pt>
                <c:pt idx="91">
                  <c:v>6.0369264998863592</c:v>
                </c:pt>
                <c:pt idx="92">
                  <c:v>6.2697001399999959</c:v>
                </c:pt>
                <c:pt idx="93">
                  <c:v>6.5095175571590875</c:v>
                </c:pt>
                <c:pt idx="94">
                  <c:v>6.7564833995454521</c:v>
                </c:pt>
                <c:pt idx="95">
                  <c:v>7.0107023153409056</c:v>
                </c:pt>
                <c:pt idx="96">
                  <c:v>7.2722789527272695</c:v>
                </c:pt>
                <c:pt idx="97">
                  <c:v>7.54131795988636</c:v>
                </c:pt>
                <c:pt idx="98">
                  <c:v>7.8179239849999966</c:v>
                </c:pt>
                <c:pt idx="99">
                  <c:v>8.1022016762499955</c:v>
                </c:pt>
                <c:pt idx="100">
                  <c:v>8.3942556818181782</c:v>
                </c:pt>
              </c:numCache>
            </c:numRef>
          </c:yVal>
          <c:smooth val="0"/>
          <c:extLst xmlns:c16r2="http://schemas.microsoft.com/office/drawing/2015/06/chart">
            <c:ext xmlns:c16="http://schemas.microsoft.com/office/drawing/2014/chart" uri="{C3380CC4-5D6E-409C-BE32-E72D297353CC}">
              <c16:uniqueId val="{00000002-3A04-441D-ABAB-DB0D9233B82E}"/>
            </c:ext>
          </c:extLst>
        </c:ser>
        <c:dLbls>
          <c:showLegendKey val="0"/>
          <c:showVal val="0"/>
          <c:showCatName val="0"/>
          <c:showSerName val="0"/>
          <c:showPercent val="0"/>
          <c:showBubbleSize val="0"/>
        </c:dLbls>
        <c:axId val="161027584"/>
        <c:axId val="161029504"/>
      </c:scatterChart>
      <c:valAx>
        <c:axId val="161027584"/>
        <c:scaling>
          <c:orientation val="minMax"/>
          <c:max val="1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Asset life (years)</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029504"/>
        <c:crosses val="autoZero"/>
        <c:crossBetween val="midCat"/>
        <c:majorUnit val="10"/>
      </c:valAx>
      <c:valAx>
        <c:axId val="161029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Life</a:t>
                </a:r>
                <a:r>
                  <a:rPr lang="en-AU" baseline="0"/>
                  <a:t> cycle cost</a:t>
                </a:r>
                <a:r>
                  <a:rPr lang="en-AU"/>
                  <a:t> ($/m/year)</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02758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Annual life cycle cost over asset life</a:t>
            </a:r>
          </a:p>
        </c:rich>
      </c:tx>
      <c:overlay val="0"/>
      <c:spPr>
        <a:noFill/>
        <a:ln>
          <a:noFill/>
        </a:ln>
        <a:effectLst/>
      </c:spPr>
    </c:title>
    <c:autoTitleDeleted val="0"/>
    <c:plotArea>
      <c:layout/>
      <c:scatterChart>
        <c:scatterStyle val="lineMarker"/>
        <c:varyColors val="0"/>
        <c:ser>
          <c:idx val="0"/>
          <c:order val="0"/>
          <c:spPr>
            <a:ln w="6350" cap="rnd">
              <a:solidFill>
                <a:srgbClr val="C00000"/>
              </a:solidFill>
              <a:round/>
            </a:ln>
            <a:effectLst/>
          </c:spPr>
          <c:marker>
            <c:symbol val="circle"/>
            <c:size val="3"/>
            <c:spPr>
              <a:solidFill>
                <a:srgbClr val="C00000"/>
              </a:solidFill>
              <a:ln w="9525">
                <a:solidFill>
                  <a:srgbClr val="C00000"/>
                </a:solidFill>
              </a:ln>
              <a:effectLst/>
            </c:spPr>
          </c:marker>
          <c:trendline>
            <c:spPr>
              <a:ln w="19050" cap="rnd">
                <a:solidFill>
                  <a:schemeClr val="accent1"/>
                </a:solidFill>
                <a:prstDash val="sysDot"/>
              </a:ln>
              <a:effectLst/>
            </c:spPr>
            <c:trendlineType val="poly"/>
            <c:order val="3"/>
            <c:dispRSqr val="0"/>
            <c:dispEq val="0"/>
          </c:trendline>
          <c:trendline>
            <c:spPr>
              <a:ln w="19050" cap="rnd">
                <a:solidFill>
                  <a:schemeClr val="accent1"/>
                </a:solidFill>
                <a:prstDash val="sysDot"/>
              </a:ln>
              <a:effectLst/>
            </c:spPr>
            <c:trendlineType val="poly"/>
            <c:order val="3"/>
            <c:dispRSqr val="0"/>
            <c:dispEq val="0"/>
          </c:trendline>
          <c:xVal>
            <c:numRef>
              <c:f>'[2]Water Main'!$H$5:$H$105</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xVal>
          <c:yVal>
            <c:numRef>
              <c:f>'[2]Water Main'!$I$5:$I$105</c:f>
              <c:numCache>
                <c:formatCode>General</c:formatCode>
                <c:ptCount val="101"/>
                <c:pt idx="0">
                  <c:v>0.52</c:v>
                </c:pt>
                <c:pt idx="1">
                  <c:v>0.61776476895943566</c:v>
                </c:pt>
                <c:pt idx="2">
                  <c:v>0.71077677601410938</c:v>
                </c:pt>
                <c:pt idx="3">
                  <c:v>0.7991490793650794</c:v>
                </c:pt>
                <c:pt idx="4">
                  <c:v>0.88299473721340394</c:v>
                </c:pt>
                <c:pt idx="5">
                  <c:v>0.96242680776014122</c:v>
                </c:pt>
                <c:pt idx="6">
                  <c:v>1.0375583492063494</c:v>
                </c:pt>
                <c:pt idx="7">
                  <c:v>1.1085024197530864</c:v>
                </c:pt>
                <c:pt idx="8">
                  <c:v>1.1753720776014109</c:v>
                </c:pt>
                <c:pt idx="9">
                  <c:v>1.238280380952381</c:v>
                </c:pt>
                <c:pt idx="10">
                  <c:v>1.2973403880070549</c:v>
                </c:pt>
                <c:pt idx="11">
                  <c:v>1.3526651569664903</c:v>
                </c:pt>
                <c:pt idx="12">
                  <c:v>1.4043677460317461</c:v>
                </c:pt>
                <c:pt idx="13">
                  <c:v>1.4525612134038801</c:v>
                </c:pt>
                <c:pt idx="14">
                  <c:v>1.4973586172839506</c:v>
                </c:pt>
                <c:pt idx="15">
                  <c:v>1.5388730158730159</c:v>
                </c:pt>
                <c:pt idx="16">
                  <c:v>1.5772174673721342</c:v>
                </c:pt>
                <c:pt idx="17">
                  <c:v>1.6125050299823633</c:v>
                </c:pt>
                <c:pt idx="18">
                  <c:v>1.644848761904762</c:v>
                </c:pt>
                <c:pt idx="19">
                  <c:v>1.6743617213403881</c:v>
                </c:pt>
                <c:pt idx="20">
                  <c:v>1.7011569664903003</c:v>
                </c:pt>
                <c:pt idx="21">
                  <c:v>1.7253475555555555</c:v>
                </c:pt>
                <c:pt idx="22">
                  <c:v>1.7470465467372134</c:v>
                </c:pt>
                <c:pt idx="23">
                  <c:v>1.7663669982363317</c:v>
                </c:pt>
                <c:pt idx="24">
                  <c:v>1.7834219682539685</c:v>
                </c:pt>
                <c:pt idx="25">
                  <c:v>1.798324514991182</c:v>
                </c:pt>
                <c:pt idx="26">
                  <c:v>1.8111876966490303</c:v>
                </c:pt>
                <c:pt idx="27">
                  <c:v>1.8221245714285719</c:v>
                </c:pt>
                <c:pt idx="28">
                  <c:v>1.8312481975308643</c:v>
                </c:pt>
                <c:pt idx="29">
                  <c:v>1.8386716331569664</c:v>
                </c:pt>
                <c:pt idx="30">
                  <c:v>1.8445079365079367</c:v>
                </c:pt>
                <c:pt idx="31">
                  <c:v>1.8488701657848328</c:v>
                </c:pt>
                <c:pt idx="32">
                  <c:v>1.8518713791887129</c:v>
                </c:pt>
                <c:pt idx="33">
                  <c:v>1.8536246349206356</c:v>
                </c:pt>
                <c:pt idx="34">
                  <c:v>1.8542429911816583</c:v>
                </c:pt>
                <c:pt idx="35">
                  <c:v>1.8538395061728399</c:v>
                </c:pt>
                <c:pt idx="36">
                  <c:v>1.8525272380952384</c:v>
                </c:pt>
                <c:pt idx="37">
                  <c:v>1.8504192451499115</c:v>
                </c:pt>
                <c:pt idx="38">
                  <c:v>1.8476285855379189</c:v>
                </c:pt>
                <c:pt idx="39">
                  <c:v>1.8442683174603176</c:v>
                </c:pt>
                <c:pt idx="40">
                  <c:v>1.8404514991181666</c:v>
                </c:pt>
                <c:pt idx="41">
                  <c:v>1.8362911887125217</c:v>
                </c:pt>
                <c:pt idx="42">
                  <c:v>1.8319004444444444</c:v>
                </c:pt>
                <c:pt idx="43">
                  <c:v>1.827392324514991</c:v>
                </c:pt>
                <c:pt idx="44">
                  <c:v>1.8228798871252203</c:v>
                </c:pt>
                <c:pt idx="45">
                  <c:v>1.8184761904761904</c:v>
                </c:pt>
                <c:pt idx="46">
                  <c:v>1.8142942927689591</c:v>
                </c:pt>
                <c:pt idx="47">
                  <c:v>1.8104472522045856</c:v>
                </c:pt>
                <c:pt idx="48">
                  <c:v>1.8070481269841272</c:v>
                </c:pt>
                <c:pt idx="49">
                  <c:v>1.8042099753086416</c:v>
                </c:pt>
                <c:pt idx="50">
                  <c:v>1.8020458553791885</c:v>
                </c:pt>
                <c:pt idx="51">
                  <c:v>1.8006688253968255</c:v>
                </c:pt>
                <c:pt idx="52">
                  <c:v>1.8001919435626101</c:v>
                </c:pt>
                <c:pt idx="53">
                  <c:v>1.8007282680776018</c:v>
                </c:pt>
                <c:pt idx="54">
                  <c:v>1.8023908571428566</c:v>
                </c:pt>
                <c:pt idx="55">
                  <c:v>1.8052927689594358</c:v>
                </c:pt>
                <c:pt idx="56">
                  <c:v>1.8095470617283946</c:v>
                </c:pt>
                <c:pt idx="57">
                  <c:v>1.8152667936507929</c:v>
                </c:pt>
                <c:pt idx="58">
                  <c:v>1.8225650229276877</c:v>
                </c:pt>
                <c:pt idx="59">
                  <c:v>1.8315548077601407</c:v>
                </c:pt>
                <c:pt idx="60">
                  <c:v>1.8423492063492053</c:v>
                </c:pt>
                <c:pt idx="61">
                  <c:v>1.8550612768959422</c:v>
                </c:pt>
                <c:pt idx="62">
                  <c:v>1.8698040776014104</c:v>
                </c:pt>
                <c:pt idx="63">
                  <c:v>1.8866906666666652</c:v>
                </c:pt>
                <c:pt idx="64">
                  <c:v>1.9058341022927681</c:v>
                </c:pt>
                <c:pt idx="65">
                  <c:v>1.9273474426807753</c:v>
                </c:pt>
                <c:pt idx="66">
                  <c:v>1.9513437460317458</c:v>
                </c:pt>
                <c:pt idx="67">
                  <c:v>1.9779360705467357</c:v>
                </c:pt>
                <c:pt idx="68">
                  <c:v>2.0072374744268058</c:v>
                </c:pt>
                <c:pt idx="69">
                  <c:v>2.0393610158730158</c:v>
                </c:pt>
                <c:pt idx="70">
                  <c:v>2.0744197530864192</c:v>
                </c:pt>
                <c:pt idx="71">
                  <c:v>2.112526744268076</c:v>
                </c:pt>
                <c:pt idx="72">
                  <c:v>2.1537950476190457</c:v>
                </c:pt>
                <c:pt idx="73">
                  <c:v>2.1983377213403865</c:v>
                </c:pt>
                <c:pt idx="74">
                  <c:v>2.2462678236331537</c:v>
                </c:pt>
                <c:pt idx="75">
                  <c:v>2.2976984126984106</c:v>
                </c:pt>
                <c:pt idx="76">
                  <c:v>2.3527425467372107</c:v>
                </c:pt>
                <c:pt idx="77">
                  <c:v>2.411513283950613</c:v>
                </c:pt>
                <c:pt idx="78">
                  <c:v>2.47412368253968</c:v>
                </c:pt>
                <c:pt idx="79">
                  <c:v>2.5406868007054633</c:v>
                </c:pt>
                <c:pt idx="80">
                  <c:v>2.6113156966490281</c:v>
                </c:pt>
                <c:pt idx="81">
                  <c:v>2.6861234285714262</c:v>
                </c:pt>
                <c:pt idx="82">
                  <c:v>2.7652230546737155</c:v>
                </c:pt>
                <c:pt idx="83">
                  <c:v>2.8487276331569622</c:v>
                </c:pt>
                <c:pt idx="84">
                  <c:v>2.9367502222222179</c:v>
                </c:pt>
                <c:pt idx="85">
                  <c:v>3.0294038800705434</c:v>
                </c:pt>
                <c:pt idx="86">
                  <c:v>3.1268016649029922</c:v>
                </c:pt>
                <c:pt idx="87">
                  <c:v>3.2290566349206302</c:v>
                </c:pt>
                <c:pt idx="88">
                  <c:v>3.3362818483245094</c:v>
                </c:pt>
                <c:pt idx="89">
                  <c:v>3.448590363315692</c:v>
                </c:pt>
                <c:pt idx="90">
                  <c:v>3.5660952380952335</c:v>
                </c:pt>
                <c:pt idx="91">
                  <c:v>3.6889095308641928</c:v>
                </c:pt>
                <c:pt idx="92">
                  <c:v>3.817146299823627</c:v>
                </c:pt>
                <c:pt idx="93">
                  <c:v>3.9509186031745966</c:v>
                </c:pt>
                <c:pt idx="94">
                  <c:v>4.0903394991181585</c:v>
                </c:pt>
                <c:pt idx="95">
                  <c:v>4.2355220458553724</c:v>
                </c:pt>
                <c:pt idx="96">
                  <c:v>4.3865793015872949</c:v>
                </c:pt>
                <c:pt idx="97">
                  <c:v>4.5436243245149832</c:v>
                </c:pt>
                <c:pt idx="98">
                  <c:v>4.7067701728394962</c:v>
                </c:pt>
                <c:pt idx="99">
                  <c:v>4.8761299047618962</c:v>
                </c:pt>
                <c:pt idx="100">
                  <c:v>5.0518165784832352</c:v>
                </c:pt>
              </c:numCache>
            </c:numRef>
          </c:yVal>
          <c:smooth val="0"/>
          <c:extLst xmlns:c16r2="http://schemas.microsoft.com/office/drawing/2015/06/chart">
            <c:ext xmlns:c16="http://schemas.microsoft.com/office/drawing/2014/chart" uri="{C3380CC4-5D6E-409C-BE32-E72D297353CC}">
              <c16:uniqueId val="{00000002-111B-4E9D-9F27-B75DD26D6471}"/>
            </c:ext>
          </c:extLst>
        </c:ser>
        <c:dLbls>
          <c:showLegendKey val="0"/>
          <c:showVal val="0"/>
          <c:showCatName val="0"/>
          <c:showSerName val="0"/>
          <c:showPercent val="0"/>
          <c:showBubbleSize val="0"/>
        </c:dLbls>
        <c:axId val="161606272"/>
        <c:axId val="160236288"/>
      </c:scatterChart>
      <c:valAx>
        <c:axId val="161606272"/>
        <c:scaling>
          <c:orientation val="minMax"/>
          <c:max val="1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Asset life (years)</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236288"/>
        <c:crosses val="autoZero"/>
        <c:crossBetween val="midCat"/>
        <c:majorUnit val="10"/>
      </c:valAx>
      <c:valAx>
        <c:axId val="1602362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Life</a:t>
                </a:r>
                <a:r>
                  <a:rPr lang="en-AU" baseline="0"/>
                  <a:t> cycle cost</a:t>
                </a:r>
                <a:r>
                  <a:rPr lang="en-AU"/>
                  <a:t> ($/m/year)</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60627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Annual life cycle cost over asset life</a:t>
            </a:r>
          </a:p>
        </c:rich>
      </c:tx>
      <c:overlay val="0"/>
      <c:spPr>
        <a:noFill/>
        <a:ln>
          <a:noFill/>
        </a:ln>
        <a:effectLst/>
      </c:spPr>
    </c:title>
    <c:autoTitleDeleted val="0"/>
    <c:plotArea>
      <c:layout/>
      <c:scatterChart>
        <c:scatterStyle val="lineMarker"/>
        <c:varyColors val="0"/>
        <c:ser>
          <c:idx val="0"/>
          <c:order val="0"/>
          <c:spPr>
            <a:ln w="6350" cap="rnd">
              <a:solidFill>
                <a:srgbClr val="C00000"/>
              </a:solidFill>
              <a:round/>
            </a:ln>
            <a:effectLst/>
          </c:spPr>
          <c:marker>
            <c:symbol val="circle"/>
            <c:size val="3"/>
            <c:spPr>
              <a:solidFill>
                <a:srgbClr val="C00000"/>
              </a:solidFill>
              <a:ln w="9525">
                <a:solidFill>
                  <a:srgbClr val="C00000"/>
                </a:solidFill>
              </a:ln>
              <a:effectLst/>
            </c:spPr>
          </c:marker>
          <c:trendline>
            <c:spPr>
              <a:ln w="19050" cap="rnd">
                <a:solidFill>
                  <a:schemeClr val="accent1"/>
                </a:solidFill>
                <a:prstDash val="sysDot"/>
              </a:ln>
              <a:effectLst/>
            </c:spPr>
            <c:trendlineType val="poly"/>
            <c:order val="3"/>
            <c:dispRSqr val="0"/>
            <c:dispEq val="0"/>
          </c:trendline>
          <c:trendline>
            <c:spPr>
              <a:ln w="19050" cap="rnd">
                <a:solidFill>
                  <a:schemeClr val="accent1"/>
                </a:solidFill>
                <a:prstDash val="sysDot"/>
              </a:ln>
              <a:effectLst/>
            </c:spPr>
            <c:trendlineType val="poly"/>
            <c:order val="3"/>
            <c:dispRSqr val="0"/>
            <c:dispEq val="0"/>
          </c:trendline>
          <c:xVal>
            <c:numRef>
              <c:f>'[3]Water Main'!$H$5:$H$105</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xVal>
          <c:yVal>
            <c:numRef>
              <c:f>'[3]Water Main'!$I$5:$I$105</c:f>
              <c:numCache>
                <c:formatCode>General</c:formatCode>
                <c:ptCount val="101"/>
                <c:pt idx="0">
                  <c:v>0.52</c:v>
                </c:pt>
                <c:pt idx="1">
                  <c:v>0.51591813874191661</c:v>
                </c:pt>
                <c:pt idx="2">
                  <c:v>0.51343519811875382</c:v>
                </c:pt>
                <c:pt idx="3">
                  <c:v>0.51252741798941814</c:v>
                </c:pt>
                <c:pt idx="4">
                  <c:v>0.51317103821281618</c:v>
                </c:pt>
                <c:pt idx="5">
                  <c:v>0.51534229864785441</c:v>
                </c:pt>
                <c:pt idx="6">
                  <c:v>0.51901743915343934</c:v>
                </c:pt>
                <c:pt idx="7">
                  <c:v>0.52417269958847756</c:v>
                </c:pt>
                <c:pt idx="8">
                  <c:v>0.53078431981187557</c:v>
                </c:pt>
                <c:pt idx="9">
                  <c:v>0.53882853968253996</c:v>
                </c:pt>
                <c:pt idx="10">
                  <c:v>0.54828159905937712</c:v>
                </c:pt>
                <c:pt idx="11">
                  <c:v>0.55911973780129365</c:v>
                </c:pt>
                <c:pt idx="12">
                  <c:v>0.57131919576719603</c:v>
                </c:pt>
                <c:pt idx="13">
                  <c:v>0.58485621281599087</c:v>
                </c:pt>
                <c:pt idx="14">
                  <c:v>0.59970702880658466</c:v>
                </c:pt>
                <c:pt idx="15">
                  <c:v>0.61584788359788389</c:v>
                </c:pt>
                <c:pt idx="16">
                  <c:v>0.63325501704879505</c:v>
                </c:pt>
                <c:pt idx="17">
                  <c:v>0.65190466901822486</c:v>
                </c:pt>
                <c:pt idx="18">
                  <c:v>0.67177307936507957</c:v>
                </c:pt>
                <c:pt idx="19">
                  <c:v>0.69283648794826591</c:v>
                </c:pt>
                <c:pt idx="20">
                  <c:v>0.71507113462669047</c:v>
                </c:pt>
                <c:pt idx="21">
                  <c:v>0.73845325925925942</c:v>
                </c:pt>
                <c:pt idx="22">
                  <c:v>0.76295910170487957</c:v>
                </c:pt>
                <c:pt idx="23">
                  <c:v>0.78856490182245742</c:v>
                </c:pt>
                <c:pt idx="24">
                  <c:v>0.81524689947089957</c:v>
                </c:pt>
                <c:pt idx="25">
                  <c:v>0.84298133450911239</c:v>
                </c:pt>
                <c:pt idx="26">
                  <c:v>0.87174444679600249</c:v>
                </c:pt>
                <c:pt idx="27">
                  <c:v>0.90151247619047625</c:v>
                </c:pt>
                <c:pt idx="28">
                  <c:v>0.93226166255144038</c:v>
                </c:pt>
                <c:pt idx="29">
                  <c:v>0.96396824573780127</c:v>
                </c:pt>
                <c:pt idx="30">
                  <c:v>0.99660846560846561</c:v>
                </c:pt>
                <c:pt idx="31">
                  <c:v>1.0301585620223397</c:v>
                </c:pt>
                <c:pt idx="32">
                  <c:v>1.0645947748383304</c:v>
                </c:pt>
                <c:pt idx="33">
                  <c:v>1.0998933439153438</c:v>
                </c:pt>
                <c:pt idx="34">
                  <c:v>1.1360305091122869</c:v>
                </c:pt>
                <c:pt idx="35">
                  <c:v>1.1729825102880658</c:v>
                </c:pt>
                <c:pt idx="36">
                  <c:v>1.210725587301587</c:v>
                </c:pt>
                <c:pt idx="37">
                  <c:v>1.2492359800117576</c:v>
                </c:pt>
                <c:pt idx="38">
                  <c:v>1.2884899282774835</c:v>
                </c:pt>
                <c:pt idx="39">
                  <c:v>1.3284636719576719</c:v>
                </c:pt>
                <c:pt idx="40">
                  <c:v>1.3691334509112285</c:v>
                </c:pt>
                <c:pt idx="41">
                  <c:v>1.4104755049970601</c:v>
                </c:pt>
                <c:pt idx="42">
                  <c:v>1.4524660740740738</c:v>
                </c:pt>
                <c:pt idx="43">
                  <c:v>1.4950813980011755</c:v>
                </c:pt>
                <c:pt idx="44">
                  <c:v>1.5382977166372718</c:v>
                </c:pt>
                <c:pt idx="45">
                  <c:v>1.5820912698412692</c:v>
                </c:pt>
                <c:pt idx="46">
                  <c:v>1.6264382974720748</c:v>
                </c:pt>
                <c:pt idx="47">
                  <c:v>1.6713150393885945</c:v>
                </c:pt>
                <c:pt idx="48">
                  <c:v>1.7166977354497348</c:v>
                </c:pt>
                <c:pt idx="49">
                  <c:v>1.7625626255144025</c:v>
                </c:pt>
                <c:pt idx="50">
                  <c:v>1.8088859494415044</c:v>
                </c:pt>
                <c:pt idx="51">
                  <c:v>1.8556439470899466</c:v>
                </c:pt>
                <c:pt idx="52">
                  <c:v>1.9028128583186352</c:v>
                </c:pt>
                <c:pt idx="53">
                  <c:v>1.9503689229864778</c:v>
                </c:pt>
                <c:pt idx="54">
                  <c:v>1.9982883809523801</c:v>
                </c:pt>
                <c:pt idx="55">
                  <c:v>2.0465474720752486</c:v>
                </c:pt>
                <c:pt idx="56">
                  <c:v>2.0951224362139911</c:v>
                </c:pt>
                <c:pt idx="57">
                  <c:v>2.1439895132275124</c:v>
                </c:pt>
                <c:pt idx="58">
                  <c:v>2.1931249429747197</c:v>
                </c:pt>
                <c:pt idx="59">
                  <c:v>2.2425049653145201</c:v>
                </c:pt>
                <c:pt idx="60">
                  <c:v>2.2921058201058191</c:v>
                </c:pt>
                <c:pt idx="61">
                  <c:v>2.3419037472075246</c:v>
                </c:pt>
                <c:pt idx="62">
                  <c:v>2.3918749864785411</c:v>
                </c:pt>
                <c:pt idx="63">
                  <c:v>2.4419957777777772</c:v>
                </c:pt>
                <c:pt idx="64">
                  <c:v>2.4922423609641378</c:v>
                </c:pt>
                <c:pt idx="65">
                  <c:v>2.5425909758965304</c:v>
                </c:pt>
                <c:pt idx="66">
                  <c:v>2.5930178624338618</c:v>
                </c:pt>
                <c:pt idx="67">
                  <c:v>2.6434992604350378</c:v>
                </c:pt>
                <c:pt idx="68">
                  <c:v>2.6940114097589647</c:v>
                </c:pt>
                <c:pt idx="69">
                  <c:v>2.7445305502645501</c:v>
                </c:pt>
                <c:pt idx="70">
                  <c:v>2.7950329218106988</c:v>
                </c:pt>
                <c:pt idx="71">
                  <c:v>2.8454947642563191</c:v>
                </c:pt>
                <c:pt idx="72">
                  <c:v>2.8958923174603166</c:v>
                </c:pt>
                <c:pt idx="73">
                  <c:v>2.9462018212815981</c:v>
                </c:pt>
                <c:pt idx="74">
                  <c:v>2.9963995155790708</c:v>
                </c:pt>
                <c:pt idx="75">
                  <c:v>3.04646164021164</c:v>
                </c:pt>
                <c:pt idx="76">
                  <c:v>3.096364435038212</c:v>
                </c:pt>
                <c:pt idx="77">
                  <c:v>3.1460841399176953</c:v>
                </c:pt>
                <c:pt idx="78">
                  <c:v>3.1955969947089948</c:v>
                </c:pt>
                <c:pt idx="79">
                  <c:v>3.2448792392710168</c:v>
                </c:pt>
                <c:pt idx="80">
                  <c:v>3.293907113462669</c:v>
                </c:pt>
                <c:pt idx="81">
                  <c:v>3.3426568571428574</c:v>
                </c:pt>
                <c:pt idx="82">
                  <c:v>3.3911047101704876</c:v>
                </c:pt>
                <c:pt idx="83">
                  <c:v>3.4392269124044681</c:v>
                </c:pt>
                <c:pt idx="84">
                  <c:v>3.4869997037037037</c:v>
                </c:pt>
                <c:pt idx="85">
                  <c:v>3.5343993239271017</c:v>
                </c:pt>
                <c:pt idx="86">
                  <c:v>3.5814020129335686</c:v>
                </c:pt>
                <c:pt idx="87">
                  <c:v>3.6279840105820105</c:v>
                </c:pt>
                <c:pt idx="88">
                  <c:v>3.6741215567313348</c:v>
                </c:pt>
                <c:pt idx="89">
                  <c:v>3.7197908912404469</c:v>
                </c:pt>
                <c:pt idx="90">
                  <c:v>3.7649682539682541</c:v>
                </c:pt>
                <c:pt idx="91">
                  <c:v>3.8096298847736634</c:v>
                </c:pt>
                <c:pt idx="92">
                  <c:v>3.8537520235155798</c:v>
                </c:pt>
                <c:pt idx="93">
                  <c:v>3.8973109100529109</c:v>
                </c:pt>
                <c:pt idx="94">
                  <c:v>3.9402827842445634</c:v>
                </c:pt>
                <c:pt idx="95">
                  <c:v>3.9826438859494431</c:v>
                </c:pt>
                <c:pt idx="96">
                  <c:v>4.0243704550264567</c:v>
                </c:pt>
                <c:pt idx="97">
                  <c:v>4.0654387313345097</c:v>
                </c:pt>
                <c:pt idx="98">
                  <c:v>4.1058249547325119</c:v>
                </c:pt>
                <c:pt idx="99">
                  <c:v>4.1455053650793667</c:v>
                </c:pt>
                <c:pt idx="100">
                  <c:v>4.1844562022339815</c:v>
                </c:pt>
              </c:numCache>
            </c:numRef>
          </c:yVal>
          <c:smooth val="0"/>
          <c:extLst xmlns:c16r2="http://schemas.microsoft.com/office/drawing/2015/06/chart">
            <c:ext xmlns:c16="http://schemas.microsoft.com/office/drawing/2014/chart" uri="{C3380CC4-5D6E-409C-BE32-E72D297353CC}">
              <c16:uniqueId val="{00000002-D0AA-4411-ABA8-EDBEB6233F42}"/>
            </c:ext>
          </c:extLst>
        </c:ser>
        <c:dLbls>
          <c:showLegendKey val="0"/>
          <c:showVal val="0"/>
          <c:showCatName val="0"/>
          <c:showSerName val="0"/>
          <c:showPercent val="0"/>
          <c:showBubbleSize val="0"/>
        </c:dLbls>
        <c:axId val="162213248"/>
        <c:axId val="162219520"/>
      </c:scatterChart>
      <c:valAx>
        <c:axId val="162213248"/>
        <c:scaling>
          <c:orientation val="minMax"/>
          <c:max val="1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Asset life (years)</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219520"/>
        <c:crosses val="autoZero"/>
        <c:crossBetween val="midCat"/>
        <c:majorUnit val="10"/>
      </c:valAx>
      <c:valAx>
        <c:axId val="1622195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Life</a:t>
                </a:r>
                <a:r>
                  <a:rPr lang="en-AU" baseline="0"/>
                  <a:t> cycle cost</a:t>
                </a:r>
                <a:r>
                  <a:rPr lang="en-AU"/>
                  <a:t> ($/m/year)</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21324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3.png"/><Relationship Id="rId5" Type="http://schemas.openxmlformats.org/officeDocument/2006/relationships/image" Target="../media/image6.pn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chart" Target="../charts/chart2.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6351</xdr:colOff>
      <xdr:row>1</xdr:row>
      <xdr:rowOff>50800</xdr:rowOff>
    </xdr:from>
    <xdr:to>
      <xdr:col>1</xdr:col>
      <xdr:colOff>3189515</xdr:colOff>
      <xdr:row>4</xdr:row>
      <xdr:rowOff>50800</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5951" y="234950"/>
          <a:ext cx="3183164" cy="552450"/>
        </a:xfrm>
        <a:prstGeom prst="rect">
          <a:avLst/>
        </a:prstGeom>
      </xdr:spPr>
    </xdr:pic>
    <xdr:clientData/>
  </xdr:twoCellAnchor>
  <xdr:twoCellAnchor editAs="oneCell">
    <xdr:from>
      <xdr:col>1</xdr:col>
      <xdr:colOff>3594100</xdr:colOff>
      <xdr:row>1</xdr:row>
      <xdr:rowOff>76200</xdr:rowOff>
    </xdr:from>
    <xdr:to>
      <xdr:col>1</xdr:col>
      <xdr:colOff>7032308</xdr:colOff>
      <xdr:row>4</xdr:row>
      <xdr:rowOff>101600</xdr:rowOff>
    </xdr:to>
    <xdr:pic>
      <xdr:nvPicPr>
        <xdr:cNvPr id="6" name="Picture 5">
          <a:extLst>
            <a:ext uri="{FF2B5EF4-FFF2-40B4-BE49-F238E27FC236}">
              <a16:creationId xmlns=""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03700" y="260350"/>
          <a:ext cx="3438208" cy="577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12327</xdr:rowOff>
    </xdr:from>
    <xdr:to>
      <xdr:col>3</xdr:col>
      <xdr:colOff>1962097</xdr:colOff>
      <xdr:row>4</xdr:row>
      <xdr:rowOff>26147</xdr:rowOff>
    </xdr:to>
    <xdr:pic>
      <xdr:nvPicPr>
        <xdr:cNvPr id="2" name="Picture 1">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96477"/>
          <a:ext cx="3181297" cy="547220"/>
        </a:xfrm>
        <a:prstGeom prst="rect">
          <a:avLst/>
        </a:prstGeom>
      </xdr:spPr>
    </xdr:pic>
    <xdr:clientData/>
  </xdr:twoCellAnchor>
  <xdr:twoCellAnchor editAs="oneCell">
    <xdr:from>
      <xdr:col>3</xdr:col>
      <xdr:colOff>2358838</xdr:colOff>
      <xdr:row>1</xdr:row>
      <xdr:rowOff>38100</xdr:rowOff>
    </xdr:from>
    <xdr:to>
      <xdr:col>3</xdr:col>
      <xdr:colOff>5802649</xdr:colOff>
      <xdr:row>4</xdr:row>
      <xdr:rowOff>72091</xdr:rowOff>
    </xdr:to>
    <xdr:pic>
      <xdr:nvPicPr>
        <xdr:cNvPr id="3" name="Picture 2">
          <a:extLst>
            <a:ext uri="{FF2B5EF4-FFF2-40B4-BE49-F238E27FC236}">
              <a16:creationId xmlns=""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87638" y="215900"/>
          <a:ext cx="3443811" cy="5673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12327</xdr:rowOff>
    </xdr:from>
    <xdr:to>
      <xdr:col>3</xdr:col>
      <xdr:colOff>1962097</xdr:colOff>
      <xdr:row>4</xdr:row>
      <xdr:rowOff>26147</xdr:rowOff>
    </xdr:to>
    <xdr:pic>
      <xdr:nvPicPr>
        <xdr:cNvPr id="2" name="Picture 1">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90127"/>
          <a:ext cx="3181297" cy="547220"/>
        </a:xfrm>
        <a:prstGeom prst="rect">
          <a:avLst/>
        </a:prstGeom>
      </xdr:spPr>
    </xdr:pic>
    <xdr:clientData/>
  </xdr:twoCellAnchor>
  <xdr:twoCellAnchor editAs="oneCell">
    <xdr:from>
      <xdr:col>3</xdr:col>
      <xdr:colOff>2358838</xdr:colOff>
      <xdr:row>1</xdr:row>
      <xdr:rowOff>38100</xdr:rowOff>
    </xdr:from>
    <xdr:to>
      <xdr:col>3</xdr:col>
      <xdr:colOff>5802649</xdr:colOff>
      <xdr:row>4</xdr:row>
      <xdr:rowOff>72091</xdr:rowOff>
    </xdr:to>
    <xdr:pic>
      <xdr:nvPicPr>
        <xdr:cNvPr id="3" name="Picture 2">
          <a:extLst>
            <a:ext uri="{FF2B5EF4-FFF2-40B4-BE49-F238E27FC236}">
              <a16:creationId xmlns=""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87638" y="215900"/>
          <a:ext cx="3443811" cy="5673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107950</xdr:colOff>
      <xdr:row>11</xdr:row>
      <xdr:rowOff>114300</xdr:rowOff>
    </xdr:from>
    <xdr:to>
      <xdr:col>3</xdr:col>
      <xdr:colOff>3850132</xdr:colOff>
      <xdr:row>29</xdr:row>
      <xdr:rowOff>152400</xdr:rowOff>
    </xdr:to>
    <xdr:pic>
      <xdr:nvPicPr>
        <xdr:cNvPr id="4" name="Picture 3">
          <a:extLst>
            <a:ext uri="{FF2B5EF4-FFF2-40B4-BE49-F238E27FC236}">
              <a16:creationId xmlns=""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7550" y="2152650"/>
          <a:ext cx="4961382" cy="3238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514350</xdr:colOff>
      <xdr:row>33</xdr:row>
      <xdr:rowOff>19050</xdr:rowOff>
    </xdr:from>
    <xdr:to>
      <xdr:col>4</xdr:col>
      <xdr:colOff>6350</xdr:colOff>
      <xdr:row>55</xdr:row>
      <xdr:rowOff>0</xdr:rowOff>
    </xdr:to>
    <xdr:grpSp>
      <xdr:nvGrpSpPr>
        <xdr:cNvPr id="9" name="Group 8">
          <a:extLst>
            <a:ext uri="{FF2B5EF4-FFF2-40B4-BE49-F238E27FC236}">
              <a16:creationId xmlns="" xmlns:a16="http://schemas.microsoft.com/office/drawing/2014/main" id="{00000000-0008-0000-0500-000009000000}"/>
            </a:ext>
          </a:extLst>
        </xdr:cNvPr>
        <xdr:cNvGrpSpPr/>
      </xdr:nvGrpSpPr>
      <xdr:grpSpPr>
        <a:xfrm>
          <a:off x="514350" y="5969000"/>
          <a:ext cx="8407400" cy="3892550"/>
          <a:chOff x="514350" y="5969000"/>
          <a:chExt cx="8407400" cy="3962400"/>
        </a:xfrm>
      </xdr:grpSpPr>
      <xdr:grpSp>
        <xdr:nvGrpSpPr>
          <xdr:cNvPr id="7" name="Group 6">
            <a:extLst>
              <a:ext uri="{FF2B5EF4-FFF2-40B4-BE49-F238E27FC236}">
                <a16:creationId xmlns="" xmlns:a16="http://schemas.microsoft.com/office/drawing/2014/main" id="{00000000-0008-0000-0500-000007000000}"/>
              </a:ext>
            </a:extLst>
          </xdr:cNvPr>
          <xdr:cNvGrpSpPr/>
        </xdr:nvGrpSpPr>
        <xdr:grpSpPr>
          <a:xfrm>
            <a:off x="514350" y="6051550"/>
            <a:ext cx="8407400" cy="3790950"/>
            <a:chOff x="514350" y="6051550"/>
            <a:chExt cx="8407400" cy="3790950"/>
          </a:xfrm>
        </xdr:grpSpPr>
        <xdr:pic>
          <xdr:nvPicPr>
            <xdr:cNvPr id="5" name="Picture 4">
              <a:extLst>
                <a:ext uri="{FF2B5EF4-FFF2-40B4-BE49-F238E27FC236}">
                  <a16:creationId xmlns=""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14350" y="6051550"/>
              <a:ext cx="8407400" cy="37909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 name="Rectangle 5">
              <a:extLst>
                <a:ext uri="{FF2B5EF4-FFF2-40B4-BE49-F238E27FC236}">
                  <a16:creationId xmlns="" xmlns:a16="http://schemas.microsoft.com/office/drawing/2014/main" id="{00000000-0008-0000-0500-000006000000}"/>
                </a:ext>
              </a:extLst>
            </xdr:cNvPr>
            <xdr:cNvSpPr/>
          </xdr:nvSpPr>
          <xdr:spPr>
            <a:xfrm>
              <a:off x="558800" y="6350000"/>
              <a:ext cx="2527300" cy="254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sp macro="" textlink="">
        <xdr:nvSpPr>
          <xdr:cNvPr id="8" name="Rectangle 7">
            <a:extLst>
              <a:ext uri="{FF2B5EF4-FFF2-40B4-BE49-F238E27FC236}">
                <a16:creationId xmlns="" xmlns:a16="http://schemas.microsoft.com/office/drawing/2014/main" id="{00000000-0008-0000-0500-000008000000}"/>
              </a:ext>
            </a:extLst>
          </xdr:cNvPr>
          <xdr:cNvSpPr/>
        </xdr:nvSpPr>
        <xdr:spPr>
          <a:xfrm>
            <a:off x="577850" y="5969000"/>
            <a:ext cx="165100" cy="396240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1</xdr:col>
      <xdr:colOff>6350</xdr:colOff>
      <xdr:row>58</xdr:row>
      <xdr:rowOff>114300</xdr:rowOff>
    </xdr:from>
    <xdr:to>
      <xdr:col>4</xdr:col>
      <xdr:colOff>69850</xdr:colOff>
      <xdr:row>84</xdr:row>
      <xdr:rowOff>95250</xdr:rowOff>
    </xdr:to>
    <xdr:grpSp>
      <xdr:nvGrpSpPr>
        <xdr:cNvPr id="14" name="Group 13">
          <a:extLst>
            <a:ext uri="{FF2B5EF4-FFF2-40B4-BE49-F238E27FC236}">
              <a16:creationId xmlns="" xmlns:a16="http://schemas.microsoft.com/office/drawing/2014/main" id="{00000000-0008-0000-0500-00000E000000}"/>
            </a:ext>
          </a:extLst>
        </xdr:cNvPr>
        <xdr:cNvGrpSpPr/>
      </xdr:nvGrpSpPr>
      <xdr:grpSpPr>
        <a:xfrm>
          <a:off x="615950" y="10509250"/>
          <a:ext cx="8369300" cy="4603750"/>
          <a:chOff x="615950" y="10509250"/>
          <a:chExt cx="8369300" cy="4603750"/>
        </a:xfrm>
      </xdr:grpSpPr>
      <xdr:grpSp>
        <xdr:nvGrpSpPr>
          <xdr:cNvPr id="12" name="Group 11">
            <a:extLst>
              <a:ext uri="{FF2B5EF4-FFF2-40B4-BE49-F238E27FC236}">
                <a16:creationId xmlns="" xmlns:a16="http://schemas.microsoft.com/office/drawing/2014/main" id="{00000000-0008-0000-0500-00000C000000}"/>
              </a:ext>
            </a:extLst>
          </xdr:cNvPr>
          <xdr:cNvGrpSpPr/>
        </xdr:nvGrpSpPr>
        <xdr:grpSpPr>
          <a:xfrm>
            <a:off x="615950" y="10579100"/>
            <a:ext cx="8369300" cy="4375150"/>
            <a:chOff x="615950" y="10579100"/>
            <a:chExt cx="8369300" cy="4375150"/>
          </a:xfrm>
        </xdr:grpSpPr>
        <xdr:pic>
          <xdr:nvPicPr>
            <xdr:cNvPr id="10" name="Picture 9">
              <a:extLst>
                <a:ext uri="{FF2B5EF4-FFF2-40B4-BE49-F238E27FC236}">
                  <a16:creationId xmlns="" xmlns:a16="http://schemas.microsoft.com/office/drawing/2014/main" id="{00000000-0008-0000-0500-00000A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47700" y="10579100"/>
              <a:ext cx="8337550" cy="43751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1" name="Rectangle 10">
              <a:extLst>
                <a:ext uri="{FF2B5EF4-FFF2-40B4-BE49-F238E27FC236}">
                  <a16:creationId xmlns="" xmlns:a16="http://schemas.microsoft.com/office/drawing/2014/main" id="{00000000-0008-0000-0500-00000B000000}"/>
                </a:ext>
              </a:extLst>
            </xdr:cNvPr>
            <xdr:cNvSpPr/>
          </xdr:nvSpPr>
          <xdr:spPr>
            <a:xfrm>
              <a:off x="615950" y="10699750"/>
              <a:ext cx="2419350" cy="22860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sp macro="" textlink="">
        <xdr:nvSpPr>
          <xdr:cNvPr id="13" name="Rectangle 12">
            <a:extLst>
              <a:ext uri="{FF2B5EF4-FFF2-40B4-BE49-F238E27FC236}">
                <a16:creationId xmlns="" xmlns:a16="http://schemas.microsoft.com/office/drawing/2014/main" id="{00000000-0008-0000-0500-00000D000000}"/>
              </a:ext>
            </a:extLst>
          </xdr:cNvPr>
          <xdr:cNvSpPr/>
        </xdr:nvSpPr>
        <xdr:spPr>
          <a:xfrm>
            <a:off x="666750" y="10509250"/>
            <a:ext cx="133350" cy="460375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927047</xdr:colOff>
      <xdr:row>4</xdr:row>
      <xdr:rowOff>178920</xdr:rowOff>
    </xdr:to>
    <xdr:pic>
      <xdr:nvPicPr>
        <xdr:cNvPr id="2" name="Picture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7765" y="373529"/>
          <a:ext cx="3183164" cy="552450"/>
        </a:xfrm>
        <a:prstGeom prst="rect">
          <a:avLst/>
        </a:prstGeom>
      </xdr:spPr>
    </xdr:pic>
    <xdr:clientData/>
  </xdr:twoCellAnchor>
  <xdr:twoCellAnchor editAs="oneCell">
    <xdr:from>
      <xdr:col>4</xdr:col>
      <xdr:colOff>1374588</xdr:colOff>
      <xdr:row>1</xdr:row>
      <xdr:rowOff>171823</xdr:rowOff>
    </xdr:from>
    <xdr:to>
      <xdr:col>6</xdr:col>
      <xdr:colOff>659149</xdr:colOff>
      <xdr:row>5</xdr:row>
      <xdr:rowOff>2614</xdr:rowOff>
    </xdr:to>
    <xdr:pic>
      <xdr:nvPicPr>
        <xdr:cNvPr id="3" name="Picture 2">
          <a:extLst>
            <a:ext uri="{FF2B5EF4-FFF2-40B4-BE49-F238E27FC236}">
              <a16:creationId xmlns=""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8470" y="358588"/>
          <a:ext cx="3438208" cy="577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6350</xdr:colOff>
      <xdr:row>1</xdr:row>
      <xdr:rowOff>31377</xdr:rowOff>
    </xdr:from>
    <xdr:to>
      <xdr:col>8</xdr:col>
      <xdr:colOff>292047</xdr:colOff>
      <xdr:row>4</xdr:row>
      <xdr:rowOff>26147</xdr:rowOff>
    </xdr:to>
    <xdr:pic>
      <xdr:nvPicPr>
        <xdr:cNvPr id="2" name="Picture 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41700" y="215527"/>
          <a:ext cx="3181297" cy="547220"/>
        </a:xfrm>
        <a:prstGeom prst="rect">
          <a:avLst/>
        </a:prstGeom>
      </xdr:spPr>
    </xdr:pic>
    <xdr:clientData/>
  </xdr:twoCellAnchor>
  <xdr:twoCellAnchor editAs="oneCell">
    <xdr:from>
      <xdr:col>8</xdr:col>
      <xdr:colOff>739588</xdr:colOff>
      <xdr:row>1</xdr:row>
      <xdr:rowOff>19050</xdr:rowOff>
    </xdr:from>
    <xdr:to>
      <xdr:col>10</xdr:col>
      <xdr:colOff>1287799</xdr:colOff>
      <xdr:row>4</xdr:row>
      <xdr:rowOff>33991</xdr:rowOff>
    </xdr:to>
    <xdr:pic>
      <xdr:nvPicPr>
        <xdr:cNvPr id="3" name="Picture 2">
          <a:extLst>
            <a:ext uri="{FF2B5EF4-FFF2-40B4-BE49-F238E27FC236}">
              <a16:creationId xmlns=""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70538" y="203200"/>
          <a:ext cx="3443811" cy="5673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12327</xdr:rowOff>
    </xdr:from>
    <xdr:to>
      <xdr:col>3</xdr:col>
      <xdr:colOff>260297</xdr:colOff>
      <xdr:row>4</xdr:row>
      <xdr:rowOff>26147</xdr:rowOff>
    </xdr:to>
    <xdr:pic>
      <xdr:nvPicPr>
        <xdr:cNvPr id="2" name="Picture 1">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90127"/>
          <a:ext cx="3181297" cy="547220"/>
        </a:xfrm>
        <a:prstGeom prst="rect">
          <a:avLst/>
        </a:prstGeom>
      </xdr:spPr>
    </xdr:pic>
    <xdr:clientData/>
  </xdr:twoCellAnchor>
  <xdr:twoCellAnchor editAs="oneCell">
    <xdr:from>
      <xdr:col>4</xdr:col>
      <xdr:colOff>523688</xdr:colOff>
      <xdr:row>1</xdr:row>
      <xdr:rowOff>0</xdr:rowOff>
    </xdr:from>
    <xdr:to>
      <xdr:col>7</xdr:col>
      <xdr:colOff>671849</xdr:colOff>
      <xdr:row>4</xdr:row>
      <xdr:rowOff>33991</xdr:rowOff>
    </xdr:to>
    <xdr:pic>
      <xdr:nvPicPr>
        <xdr:cNvPr id="3" name="Picture 2">
          <a:extLst>
            <a:ext uri="{FF2B5EF4-FFF2-40B4-BE49-F238E27FC236}">
              <a16:creationId xmlns=""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76538" y="177800"/>
          <a:ext cx="3443811" cy="5673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12327</xdr:rowOff>
    </xdr:from>
    <xdr:to>
      <xdr:col>2</xdr:col>
      <xdr:colOff>628597</xdr:colOff>
      <xdr:row>4</xdr:row>
      <xdr:rowOff>26147</xdr:rowOff>
    </xdr:to>
    <xdr:pic>
      <xdr:nvPicPr>
        <xdr:cNvPr id="2" name="Picture 1">
          <a:extLst>
            <a:ext uri="{FF2B5EF4-FFF2-40B4-BE49-F238E27FC236}">
              <a16:creationId xmlns="" xmlns:a16="http://schemas.microsoft.com/office/drawing/2014/main" id="{29609CEF-3D4D-4F28-8711-B7D9FAEA6E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90127"/>
          <a:ext cx="3181297" cy="547220"/>
        </a:xfrm>
        <a:prstGeom prst="rect">
          <a:avLst/>
        </a:prstGeom>
      </xdr:spPr>
    </xdr:pic>
    <xdr:clientData/>
  </xdr:twoCellAnchor>
  <xdr:twoCellAnchor editAs="oneCell">
    <xdr:from>
      <xdr:col>2</xdr:col>
      <xdr:colOff>1863538</xdr:colOff>
      <xdr:row>0</xdr:row>
      <xdr:rowOff>171450</xdr:rowOff>
    </xdr:from>
    <xdr:to>
      <xdr:col>5</xdr:col>
      <xdr:colOff>411499</xdr:colOff>
      <xdr:row>4</xdr:row>
      <xdr:rowOff>27641</xdr:rowOff>
    </xdr:to>
    <xdr:pic>
      <xdr:nvPicPr>
        <xdr:cNvPr id="3" name="Picture 2">
          <a:extLst>
            <a:ext uri="{FF2B5EF4-FFF2-40B4-BE49-F238E27FC236}">
              <a16:creationId xmlns="" xmlns:a16="http://schemas.microsoft.com/office/drawing/2014/main" id="{E89F6A64-7096-46A1-BB26-2E853517E8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5838" y="171450"/>
          <a:ext cx="3443811" cy="5673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13</xdr:col>
      <xdr:colOff>390525</xdr:colOff>
      <xdr:row>9</xdr:row>
      <xdr:rowOff>152400</xdr:rowOff>
    </xdr:from>
    <xdr:to>
      <xdr:col>21</xdr:col>
      <xdr:colOff>190500</xdr:colOff>
      <xdr:row>26</xdr:row>
      <xdr:rowOff>142875</xdr:rowOff>
    </xdr:to>
    <xdr:graphicFrame macro="">
      <xdr:nvGraphicFramePr>
        <xdr:cNvPr id="2" name="Chart 1">
          <a:extLst>
            <a:ext uri="{FF2B5EF4-FFF2-40B4-BE49-F238E27FC236}">
              <a16:creationId xmlns="" xmlns:a16="http://schemas.microsoft.com/office/drawing/2014/main" id="{99F71BCE-5B44-4A97-9F2D-CA1C4F8157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1</xdr:row>
      <xdr:rowOff>18677</xdr:rowOff>
    </xdr:from>
    <xdr:to>
      <xdr:col>3</xdr:col>
      <xdr:colOff>812747</xdr:colOff>
      <xdr:row>4</xdr:row>
      <xdr:rowOff>13447</xdr:rowOff>
    </xdr:to>
    <xdr:pic>
      <xdr:nvPicPr>
        <xdr:cNvPr id="3" name="Picture 2">
          <a:extLst>
            <a:ext uri="{FF2B5EF4-FFF2-40B4-BE49-F238E27FC236}">
              <a16:creationId xmlns="" xmlns:a16="http://schemas.microsoft.com/office/drawing/2014/main" id="{BC461D14-74F0-420B-91E3-B0E261F663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0600" y="202827"/>
          <a:ext cx="3181297" cy="547220"/>
        </a:xfrm>
        <a:prstGeom prst="rect">
          <a:avLst/>
        </a:prstGeom>
      </xdr:spPr>
    </xdr:pic>
    <xdr:clientData/>
  </xdr:twoCellAnchor>
  <xdr:twoCellAnchor editAs="oneCell">
    <xdr:from>
      <xdr:col>5</xdr:col>
      <xdr:colOff>117288</xdr:colOff>
      <xdr:row>1</xdr:row>
      <xdr:rowOff>0</xdr:rowOff>
    </xdr:from>
    <xdr:to>
      <xdr:col>9</xdr:col>
      <xdr:colOff>455949</xdr:colOff>
      <xdr:row>4</xdr:row>
      <xdr:rowOff>14941</xdr:rowOff>
    </xdr:to>
    <xdr:pic>
      <xdr:nvPicPr>
        <xdr:cNvPr id="4" name="Picture 3">
          <a:extLst>
            <a:ext uri="{FF2B5EF4-FFF2-40B4-BE49-F238E27FC236}">
              <a16:creationId xmlns="" xmlns:a16="http://schemas.microsoft.com/office/drawing/2014/main" id="{4F2D280C-C5A5-4EA6-9073-E900C6C13EC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06838" y="184150"/>
          <a:ext cx="3443811" cy="5673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501650</xdr:colOff>
      <xdr:row>31</xdr:row>
      <xdr:rowOff>69850</xdr:rowOff>
    </xdr:from>
    <xdr:to>
      <xdr:col>21</xdr:col>
      <xdr:colOff>514350</xdr:colOff>
      <xdr:row>45</xdr:row>
      <xdr:rowOff>50800</xdr:rowOff>
    </xdr:to>
    <xdr:sp macro="" textlink="">
      <xdr:nvSpPr>
        <xdr:cNvPr id="5" name="TextBox 4">
          <a:extLst>
            <a:ext uri="{FF2B5EF4-FFF2-40B4-BE49-F238E27FC236}">
              <a16:creationId xmlns="" xmlns:a16="http://schemas.microsoft.com/office/drawing/2014/main" id="{F8B327F1-A6A1-4378-B9CD-E66944E1926F}"/>
            </a:ext>
          </a:extLst>
        </xdr:cNvPr>
        <xdr:cNvSpPr txBox="1"/>
      </xdr:nvSpPr>
      <xdr:spPr>
        <a:xfrm>
          <a:off x="10325100" y="6350000"/>
          <a:ext cx="8261350" cy="2584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a:t>
          </a:r>
        </a:p>
        <a:p>
          <a:r>
            <a:rPr lang="en-AU" sz="1100"/>
            <a:t>1. Gravity sewer mains using current technology (ie. PVC rubber ring jointed) have been installed only for a relatively short time compared to old technology (eg. vitreous clay pipe). The whole life cycle cost for new sewers is not known, as the design life has not yet been reached. Hence predicting the future of the new sewers is can only be based on the assumption that there will be some degradation of the sewers over time, which will increase with age. When and where (in time) this would start cannot be determined at this stage and will only be known in the future. The below may represent a reasonable approach to the profile of cost over time.</a:t>
          </a:r>
        </a:p>
        <a:p>
          <a:r>
            <a:rPr lang="en-AU" sz="1100"/>
            <a:t>The total lifecycle cost calculated based on the following assumptions:</a:t>
          </a:r>
        </a:p>
        <a:p>
          <a:pPr marL="628650" lvl="1" indent="-171450">
            <a:buFont typeface="Arial" panose="020B0604020202020204" pitchFamily="34" charset="0"/>
            <a:buChar char="•"/>
          </a:pPr>
          <a:r>
            <a:rPr lang="en-AU" sz="1100"/>
            <a:t>Zero maintenance</a:t>
          </a:r>
          <a:r>
            <a:rPr lang="en-AU" sz="1100" baseline="0"/>
            <a:t> cost when asset is new (i.e. operational cost only); </a:t>
          </a:r>
        </a:p>
        <a:p>
          <a:pPr marL="628650" lvl="1" indent="-171450">
            <a:buFont typeface="Arial" panose="020B0604020202020204" pitchFamily="34" charset="0"/>
            <a:buChar char="•"/>
          </a:pPr>
          <a:r>
            <a:rPr lang="en-AU" sz="1100" baseline="0"/>
            <a:t>10% of total lifecycle cost will be spent in the first 25 years of serviceable life to account for general operation and maintenance; </a:t>
          </a:r>
        </a:p>
        <a:p>
          <a:pPr marL="628650" lvl="1" indent="-171450">
            <a:buFont typeface="Arial" panose="020B0604020202020204" pitchFamily="34" charset="0"/>
            <a:buChar char="•"/>
          </a:pPr>
          <a:r>
            <a:rPr lang="en-AU" sz="1100" baseline="0"/>
            <a:t>40% of total lifecycle cost will be spent between year 26 to 80 to account for the increase of main repairs and maintenance (e.g. clearing blockage) due to ageing asset; and </a:t>
          </a:r>
        </a:p>
        <a:p>
          <a:pPr marL="628650" lvl="1" indent="-171450">
            <a:buFont typeface="Arial" panose="020B0604020202020204" pitchFamily="34" charset="0"/>
            <a:buChar char="•"/>
          </a:pPr>
          <a:r>
            <a:rPr lang="en-AU" sz="1100"/>
            <a:t>50% of total lifecycle cost will be spent in the last 20 years of the asset's serviceable life to account for large quantity</a:t>
          </a:r>
          <a:r>
            <a:rPr lang="en-AU" sz="1100" baseline="0"/>
            <a:t> of main repairs and maintenance. </a:t>
          </a:r>
        </a:p>
        <a:p>
          <a:pPr marL="0" lvl="0" indent="0">
            <a:buFontTx/>
            <a:buNone/>
          </a:pPr>
          <a:r>
            <a:rPr lang="en-AU" sz="1100"/>
            <a:t>2. The total lifecycle</a:t>
          </a:r>
          <a:r>
            <a:rPr lang="en-AU" sz="1100" baseline="0"/>
            <a:t> cost was estimated based on the </a:t>
          </a:r>
          <a:r>
            <a:rPr lang="en-AU" sz="1100" i="1" baseline="0"/>
            <a:t>2013-14 Water Supply and Sewerage NSW Benchmarking Report</a:t>
          </a:r>
          <a:r>
            <a:rPr lang="en-AU" sz="1100" baseline="0"/>
            <a:t>. </a:t>
          </a:r>
          <a:endParaRPr lang="en-AU"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390525</xdr:colOff>
      <xdr:row>9</xdr:row>
      <xdr:rowOff>152400</xdr:rowOff>
    </xdr:from>
    <xdr:to>
      <xdr:col>21</xdr:col>
      <xdr:colOff>190500</xdr:colOff>
      <xdr:row>26</xdr:row>
      <xdr:rowOff>142875</xdr:rowOff>
    </xdr:to>
    <xdr:graphicFrame macro="">
      <xdr:nvGraphicFramePr>
        <xdr:cNvPr id="2" name="Chart 1">
          <a:extLst>
            <a:ext uri="{FF2B5EF4-FFF2-40B4-BE49-F238E27FC236}">
              <a16:creationId xmlns="" xmlns:a16="http://schemas.microsoft.com/office/drawing/2014/main" id="{AEC39220-7286-47D1-99AC-BDC4508D6E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1</xdr:row>
      <xdr:rowOff>18677</xdr:rowOff>
    </xdr:from>
    <xdr:to>
      <xdr:col>3</xdr:col>
      <xdr:colOff>812747</xdr:colOff>
      <xdr:row>4</xdr:row>
      <xdr:rowOff>13447</xdr:rowOff>
    </xdr:to>
    <xdr:pic>
      <xdr:nvPicPr>
        <xdr:cNvPr id="3" name="Picture 2">
          <a:extLst>
            <a:ext uri="{FF2B5EF4-FFF2-40B4-BE49-F238E27FC236}">
              <a16:creationId xmlns="" xmlns:a16="http://schemas.microsoft.com/office/drawing/2014/main" id="{501A5E3D-479E-496C-98A7-43E3449D68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0600" y="202827"/>
          <a:ext cx="3181297" cy="547220"/>
        </a:xfrm>
        <a:prstGeom prst="rect">
          <a:avLst/>
        </a:prstGeom>
      </xdr:spPr>
    </xdr:pic>
    <xdr:clientData/>
  </xdr:twoCellAnchor>
  <xdr:twoCellAnchor editAs="oneCell">
    <xdr:from>
      <xdr:col>5</xdr:col>
      <xdr:colOff>117288</xdr:colOff>
      <xdr:row>1</xdr:row>
      <xdr:rowOff>0</xdr:rowOff>
    </xdr:from>
    <xdr:to>
      <xdr:col>9</xdr:col>
      <xdr:colOff>455949</xdr:colOff>
      <xdr:row>4</xdr:row>
      <xdr:rowOff>14941</xdr:rowOff>
    </xdr:to>
    <xdr:pic>
      <xdr:nvPicPr>
        <xdr:cNvPr id="4" name="Picture 3">
          <a:extLst>
            <a:ext uri="{FF2B5EF4-FFF2-40B4-BE49-F238E27FC236}">
              <a16:creationId xmlns="" xmlns:a16="http://schemas.microsoft.com/office/drawing/2014/main" id="{7276BE99-8CA4-42E1-9E0C-E876E2D82EA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06838" y="184150"/>
          <a:ext cx="3443811" cy="5673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247650</xdr:colOff>
      <xdr:row>29</xdr:row>
      <xdr:rowOff>44450</xdr:rowOff>
    </xdr:from>
    <xdr:to>
      <xdr:col>21</xdr:col>
      <xdr:colOff>412750</xdr:colOff>
      <xdr:row>39</xdr:row>
      <xdr:rowOff>171450</xdr:rowOff>
    </xdr:to>
    <xdr:sp macro="" textlink="">
      <xdr:nvSpPr>
        <xdr:cNvPr id="5" name="TextBox 4">
          <a:extLst>
            <a:ext uri="{FF2B5EF4-FFF2-40B4-BE49-F238E27FC236}">
              <a16:creationId xmlns="" xmlns:a16="http://schemas.microsoft.com/office/drawing/2014/main" id="{56CF8BF9-C422-48E7-A4CC-811B21C26CAE}"/>
            </a:ext>
          </a:extLst>
        </xdr:cNvPr>
        <xdr:cNvSpPr txBox="1"/>
      </xdr:nvSpPr>
      <xdr:spPr>
        <a:xfrm>
          <a:off x="10071100" y="5956300"/>
          <a:ext cx="8261350" cy="1981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a:t>
          </a:r>
        </a:p>
        <a:p>
          <a:r>
            <a:rPr lang="en-AU" sz="1100"/>
            <a:t>1. Sewer rising mains are more complicated to operate compared to clear water reticulation mains due to the solids in the sewage, which can cause siltation and blockage of the main. More operator attendance is required to ensure the main operates reliably.  The total lifecycle cost was calculated based on the following assumptions:</a:t>
          </a:r>
        </a:p>
        <a:p>
          <a:pPr marL="628650" lvl="1" indent="-171450">
            <a:buFont typeface="Arial" panose="020B0604020202020204" pitchFamily="34" charset="0"/>
            <a:buChar char="•"/>
          </a:pPr>
          <a:r>
            <a:rPr lang="en-AU" sz="1100"/>
            <a:t>Zero maintenance</a:t>
          </a:r>
          <a:r>
            <a:rPr lang="en-AU" sz="1100" baseline="0"/>
            <a:t> cost when asset is new (i.e. operational cost only); </a:t>
          </a:r>
        </a:p>
        <a:p>
          <a:pPr marL="628650" lvl="1" indent="-171450">
            <a:buFont typeface="Arial" panose="020B0604020202020204" pitchFamily="34" charset="0"/>
            <a:buChar char="•"/>
          </a:pPr>
          <a:r>
            <a:rPr lang="en-AU" sz="1100" baseline="0"/>
            <a:t>20% of total lifecycle cost will be spent in the first 30 years of serviceable life to account for general operation and maintenance; </a:t>
          </a:r>
        </a:p>
        <a:p>
          <a:pPr marL="628650" lvl="1" indent="-171450">
            <a:buFont typeface="Arial" panose="020B0604020202020204" pitchFamily="34" charset="0"/>
            <a:buChar char="•"/>
          </a:pPr>
          <a:r>
            <a:rPr lang="en-AU" sz="1100" baseline="0"/>
            <a:t>60% of total lifecycle cost will be spent between year 31 to 90 to account for the increased maintenance and monitoring of hte asset (e.g., main repair and replacement and inspections) due to asset ageing; and </a:t>
          </a:r>
        </a:p>
        <a:p>
          <a:pPr marL="628650" lvl="1" indent="-171450">
            <a:buFont typeface="Arial" panose="020B0604020202020204" pitchFamily="34" charset="0"/>
            <a:buChar char="•"/>
          </a:pPr>
          <a:r>
            <a:rPr lang="en-AU" sz="1100"/>
            <a:t>The remaining 20% of total lifecycle cost will be spent in the last 10 years of the asset's serviceable life to account for main repairs</a:t>
          </a:r>
          <a:r>
            <a:rPr lang="en-AU" sz="1100" baseline="0"/>
            <a:t>. </a:t>
          </a:r>
        </a:p>
        <a:p>
          <a:pPr marL="0" lvl="0" indent="0">
            <a:buFontTx/>
            <a:buNone/>
          </a:pPr>
          <a:r>
            <a:rPr lang="en-AU" sz="1100"/>
            <a:t>2. The total lifecycle</a:t>
          </a:r>
          <a:r>
            <a:rPr lang="en-AU" sz="1100" baseline="0"/>
            <a:t> cost was estimated based on the </a:t>
          </a:r>
          <a:r>
            <a:rPr lang="en-AU" sz="1100" i="1" baseline="0"/>
            <a:t>2013-14 Water Supply and Sewerage NSW Benchmarking Report</a:t>
          </a:r>
          <a:r>
            <a:rPr lang="en-AU" sz="1100" baseline="0"/>
            <a:t>. </a:t>
          </a:r>
          <a:endParaRPr lang="en-AU"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390525</xdr:colOff>
      <xdr:row>9</xdr:row>
      <xdr:rowOff>152400</xdr:rowOff>
    </xdr:from>
    <xdr:to>
      <xdr:col>21</xdr:col>
      <xdr:colOff>190500</xdr:colOff>
      <xdr:row>26</xdr:row>
      <xdr:rowOff>142875</xdr:rowOff>
    </xdr:to>
    <xdr:graphicFrame macro="">
      <xdr:nvGraphicFramePr>
        <xdr:cNvPr id="2" name="Chart 1">
          <a:extLst>
            <a:ext uri="{FF2B5EF4-FFF2-40B4-BE49-F238E27FC236}">
              <a16:creationId xmlns="" xmlns:a16="http://schemas.microsoft.com/office/drawing/2014/main" id="{9CE089A0-EB1A-4A98-8860-084A2CF033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1</xdr:row>
      <xdr:rowOff>18677</xdr:rowOff>
    </xdr:from>
    <xdr:to>
      <xdr:col>3</xdr:col>
      <xdr:colOff>812747</xdr:colOff>
      <xdr:row>4</xdr:row>
      <xdr:rowOff>13447</xdr:rowOff>
    </xdr:to>
    <xdr:pic>
      <xdr:nvPicPr>
        <xdr:cNvPr id="3" name="Picture 2">
          <a:extLst>
            <a:ext uri="{FF2B5EF4-FFF2-40B4-BE49-F238E27FC236}">
              <a16:creationId xmlns="" xmlns:a16="http://schemas.microsoft.com/office/drawing/2014/main" id="{2CD57CDC-7652-4B9E-90E7-D70709A3561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0600" y="202827"/>
          <a:ext cx="3181297" cy="547220"/>
        </a:xfrm>
        <a:prstGeom prst="rect">
          <a:avLst/>
        </a:prstGeom>
      </xdr:spPr>
    </xdr:pic>
    <xdr:clientData/>
  </xdr:twoCellAnchor>
  <xdr:twoCellAnchor editAs="oneCell">
    <xdr:from>
      <xdr:col>5</xdr:col>
      <xdr:colOff>117288</xdr:colOff>
      <xdr:row>1</xdr:row>
      <xdr:rowOff>0</xdr:rowOff>
    </xdr:from>
    <xdr:to>
      <xdr:col>9</xdr:col>
      <xdr:colOff>455949</xdr:colOff>
      <xdr:row>4</xdr:row>
      <xdr:rowOff>14941</xdr:rowOff>
    </xdr:to>
    <xdr:pic>
      <xdr:nvPicPr>
        <xdr:cNvPr id="4" name="Picture 3">
          <a:extLst>
            <a:ext uri="{FF2B5EF4-FFF2-40B4-BE49-F238E27FC236}">
              <a16:creationId xmlns="" xmlns:a16="http://schemas.microsoft.com/office/drawing/2014/main" id="{99D506FB-91B5-473A-8C82-5E16756109F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06838" y="184150"/>
          <a:ext cx="3443811" cy="5673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450850</xdr:colOff>
      <xdr:row>30</xdr:row>
      <xdr:rowOff>69850</xdr:rowOff>
    </xdr:from>
    <xdr:to>
      <xdr:col>21</xdr:col>
      <xdr:colOff>533400</xdr:colOff>
      <xdr:row>40</xdr:row>
      <xdr:rowOff>63500</xdr:rowOff>
    </xdr:to>
    <xdr:sp macro="" textlink="">
      <xdr:nvSpPr>
        <xdr:cNvPr id="5" name="TextBox 4">
          <a:extLst>
            <a:ext uri="{FF2B5EF4-FFF2-40B4-BE49-F238E27FC236}">
              <a16:creationId xmlns="" xmlns:a16="http://schemas.microsoft.com/office/drawing/2014/main" id="{CB219297-3A99-43AC-930A-C99BBF2C335D}"/>
            </a:ext>
          </a:extLst>
        </xdr:cNvPr>
        <xdr:cNvSpPr txBox="1"/>
      </xdr:nvSpPr>
      <xdr:spPr>
        <a:xfrm>
          <a:off x="10274300" y="6165850"/>
          <a:ext cx="8261350" cy="186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NOTES:</a:t>
          </a:r>
        </a:p>
        <a:p>
          <a:r>
            <a:rPr lang="en-AU" sz="1100"/>
            <a:t>1. The total lifecycle cost calculated based on the following assumptions:</a:t>
          </a:r>
        </a:p>
        <a:p>
          <a:pPr marL="628650" lvl="1" indent="-171450">
            <a:buFont typeface="Arial" panose="020B0604020202020204" pitchFamily="34" charset="0"/>
            <a:buChar char="•"/>
          </a:pPr>
          <a:r>
            <a:rPr lang="en-AU" sz="1100"/>
            <a:t>Zero maintenance</a:t>
          </a:r>
          <a:r>
            <a:rPr lang="en-AU" sz="1100" baseline="0"/>
            <a:t> cost when asset is new (i.e. operational cost only); </a:t>
          </a:r>
        </a:p>
        <a:p>
          <a:pPr marL="628650" lvl="1" indent="-171450">
            <a:buFont typeface="Arial" panose="020B0604020202020204" pitchFamily="34" charset="0"/>
            <a:buChar char="•"/>
          </a:pPr>
          <a:r>
            <a:rPr lang="en-AU" sz="1100" baseline="0"/>
            <a:t>10% of total lifecycle cost will be spent in the first 30 years of serviceable life to account for general operation and maintenance (e.g., leak repair and main breaks); </a:t>
          </a:r>
        </a:p>
        <a:p>
          <a:pPr marL="628650" lvl="1" indent="-171450">
            <a:buFont typeface="Arial" panose="020B0604020202020204" pitchFamily="34" charset="0"/>
            <a:buChar char="•"/>
          </a:pPr>
          <a:r>
            <a:rPr lang="en-AU" sz="1100" baseline="0"/>
            <a:t>70% of total lifecycle cost will be spent between year 31 to 90 to account for two sets of valve replacement (on an assumed 30-year valve life) and increased pipeline repair and replacement due to ageing asset; and </a:t>
          </a:r>
        </a:p>
        <a:p>
          <a:pPr marL="628650" lvl="1" indent="-171450">
            <a:buFont typeface="Arial" panose="020B0604020202020204" pitchFamily="34" charset="0"/>
            <a:buChar char="•"/>
          </a:pPr>
          <a:r>
            <a:rPr lang="en-AU" sz="1100"/>
            <a:t>The remaining 20% of total lifecycle cost will be spent in the last 10 years of the asset's serviceable life to account for pipeline repair due to ageing asset</a:t>
          </a:r>
          <a:r>
            <a:rPr lang="en-AU" sz="1100" baseline="0"/>
            <a:t>. </a:t>
          </a:r>
        </a:p>
        <a:p>
          <a:pPr marL="0" lvl="0" indent="0">
            <a:buFontTx/>
            <a:buNone/>
          </a:pPr>
          <a:r>
            <a:rPr lang="en-AU" sz="1100"/>
            <a:t>2. The total lifecycle</a:t>
          </a:r>
          <a:r>
            <a:rPr lang="en-AU" sz="1100" baseline="0"/>
            <a:t> cost was estimated based on the </a:t>
          </a:r>
          <a:r>
            <a:rPr lang="en-AU" sz="1100" i="1" baseline="0"/>
            <a:t>2013-14 Water Supply and Sewerage NSW Benchmarking Report</a:t>
          </a:r>
          <a:r>
            <a:rPr lang="en-AU" sz="1100" baseline="0"/>
            <a:t>. </a:t>
          </a:r>
          <a:endParaRPr lang="en-AU"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itap/AppData/Local/Microsoft/Windows/Temporary%20Internet%20Files/Content.Outlook/FYAGG8SD/Spreadsheets%20from%20PB/Sewer%20Gravity%20Main%20-%20Lifecycle%20Cos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itap/AppData/Local/Microsoft/Windows/Temporary%20Internet%20Files/Content.Outlook/FYAGG8SD/Spreadsheets%20from%20PB/Sewer%20Pressure%20Main%20-%20Lifecycle%20Cos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nitap/AppData/Local/Microsoft/Windows/Temporary%20Internet%20Files/Content.Outlook/FYAGG8SD/Spreadsheets%20from%20PB/Water%20Main%20-%20Lifecycle%20Co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H5">
            <v>0</v>
          </cell>
          <cell r="I5">
            <v>0.76</v>
          </cell>
        </row>
        <row r="6">
          <cell r="H6">
            <v>1</v>
          </cell>
          <cell r="I6">
            <v>0.78984721806818181</v>
          </cell>
        </row>
        <row r="7">
          <cell r="H7">
            <v>2</v>
          </cell>
          <cell r="I7">
            <v>0.81721522863636364</v>
          </cell>
        </row>
        <row r="8">
          <cell r="H8">
            <v>3</v>
          </cell>
          <cell r="I8">
            <v>0.84220867988636372</v>
          </cell>
        </row>
        <row r="9">
          <cell r="H9">
            <v>4</v>
          </cell>
          <cell r="I9">
            <v>0.86493222000000003</v>
          </cell>
        </row>
        <row r="10">
          <cell r="H10">
            <v>5</v>
          </cell>
          <cell r="I10">
            <v>0.88549049715909089</v>
          </cell>
        </row>
        <row r="11">
          <cell r="H11">
            <v>6</v>
          </cell>
          <cell r="I11">
            <v>0.90398815954545464</v>
          </cell>
        </row>
        <row r="12">
          <cell r="H12">
            <v>7</v>
          </cell>
          <cell r="I12">
            <v>0.92052985534090914</v>
          </cell>
        </row>
        <row r="13">
          <cell r="H13">
            <v>8</v>
          </cell>
          <cell r="I13">
            <v>0.93522023272727284</v>
          </cell>
        </row>
        <row r="14">
          <cell r="H14">
            <v>9</v>
          </cell>
          <cell r="I14">
            <v>0.94816393988636372</v>
          </cell>
        </row>
        <row r="15">
          <cell r="H15">
            <v>10</v>
          </cell>
          <cell r="I15">
            <v>0.95946562499999999</v>
          </cell>
        </row>
        <row r="16">
          <cell r="H16">
            <v>11</v>
          </cell>
          <cell r="I16">
            <v>0.96922993625000009</v>
          </cell>
        </row>
        <row r="17">
          <cell r="H17">
            <v>12</v>
          </cell>
          <cell r="I17">
            <v>0.9775615218181819</v>
          </cell>
        </row>
        <row r="18">
          <cell r="H18">
            <v>13</v>
          </cell>
          <cell r="I18">
            <v>0.98456502988636374</v>
          </cell>
        </row>
        <row r="19">
          <cell r="H19">
            <v>14</v>
          </cell>
          <cell r="I19">
            <v>0.99034510863636371</v>
          </cell>
        </row>
        <row r="20">
          <cell r="H20">
            <v>15</v>
          </cell>
          <cell r="I20">
            <v>0.99500640625000014</v>
          </cell>
        </row>
        <row r="21">
          <cell r="H21">
            <v>16</v>
          </cell>
          <cell r="I21">
            <v>0.99865357090909102</v>
          </cell>
        </row>
        <row r="22">
          <cell r="H22">
            <v>17</v>
          </cell>
          <cell r="I22">
            <v>1.0013912507954548</v>
          </cell>
        </row>
        <row r="23">
          <cell r="H23">
            <v>18</v>
          </cell>
          <cell r="I23">
            <v>1.0033240940909092</v>
          </cell>
        </row>
        <row r="24">
          <cell r="H24">
            <v>19</v>
          </cell>
          <cell r="I24">
            <v>1.0045567489772729</v>
          </cell>
        </row>
        <row r="25">
          <cell r="H25">
            <v>20</v>
          </cell>
          <cell r="I25">
            <v>1.0051938636363635</v>
          </cell>
        </row>
        <row r="26">
          <cell r="H26">
            <v>21</v>
          </cell>
          <cell r="I26">
            <v>1.0053400862500002</v>
          </cell>
        </row>
        <row r="27">
          <cell r="H27">
            <v>22</v>
          </cell>
          <cell r="I27">
            <v>1.0051000650000002</v>
          </cell>
        </row>
        <row r="28">
          <cell r="H28">
            <v>23</v>
          </cell>
          <cell r="I28">
            <v>1.0045784480681819</v>
          </cell>
        </row>
        <row r="29">
          <cell r="H29">
            <v>24</v>
          </cell>
          <cell r="I29">
            <v>1.0038798836363638</v>
          </cell>
        </row>
        <row r="30">
          <cell r="H30">
            <v>25</v>
          </cell>
          <cell r="I30">
            <v>1.0031090198863639</v>
          </cell>
        </row>
        <row r="31">
          <cell r="H31">
            <v>26</v>
          </cell>
          <cell r="I31">
            <v>1.002370505</v>
          </cell>
        </row>
        <row r="32">
          <cell r="H32">
            <v>27</v>
          </cell>
          <cell r="I32">
            <v>1.0017689871590911</v>
          </cell>
        </row>
        <row r="33">
          <cell r="H33">
            <v>28</v>
          </cell>
          <cell r="I33">
            <v>1.0014091145454547</v>
          </cell>
        </row>
        <row r="34">
          <cell r="H34">
            <v>29</v>
          </cell>
          <cell r="I34">
            <v>1.0013955353409094</v>
          </cell>
        </row>
        <row r="35">
          <cell r="H35">
            <v>30</v>
          </cell>
          <cell r="I35">
            <v>1.0018328977272728</v>
          </cell>
        </row>
        <row r="36">
          <cell r="H36">
            <v>31</v>
          </cell>
          <cell r="I36">
            <v>1.0028258498863636</v>
          </cell>
        </row>
        <row r="37">
          <cell r="H37">
            <v>32</v>
          </cell>
          <cell r="I37">
            <v>1.0044790400000001</v>
          </cell>
        </row>
        <row r="38">
          <cell r="H38">
            <v>33</v>
          </cell>
          <cell r="I38">
            <v>1.0068971162500002</v>
          </cell>
        </row>
        <row r="39">
          <cell r="H39">
            <v>34</v>
          </cell>
          <cell r="I39">
            <v>1.0101847268181821</v>
          </cell>
        </row>
        <row r="40">
          <cell r="H40">
            <v>35</v>
          </cell>
          <cell r="I40">
            <v>1.0144465198863637</v>
          </cell>
        </row>
        <row r="41">
          <cell r="H41">
            <v>36</v>
          </cell>
          <cell r="I41">
            <v>1.0197871436363637</v>
          </cell>
        </row>
        <row r="42">
          <cell r="H42">
            <v>37</v>
          </cell>
          <cell r="I42">
            <v>1.0263112462500001</v>
          </cell>
        </row>
        <row r="43">
          <cell r="H43">
            <v>38</v>
          </cell>
          <cell r="I43">
            <v>1.0341234759090909</v>
          </cell>
        </row>
        <row r="44">
          <cell r="H44">
            <v>39</v>
          </cell>
          <cell r="I44">
            <v>1.0433284807954546</v>
          </cell>
        </row>
        <row r="45">
          <cell r="H45">
            <v>40</v>
          </cell>
          <cell r="I45">
            <v>1.0540309090909088</v>
          </cell>
        </row>
        <row r="46">
          <cell r="H46">
            <v>41</v>
          </cell>
          <cell r="I46">
            <v>1.0663354089772725</v>
          </cell>
        </row>
        <row r="47">
          <cell r="H47">
            <v>42</v>
          </cell>
          <cell r="I47">
            <v>1.0803466286363637</v>
          </cell>
        </row>
        <row r="48">
          <cell r="H48">
            <v>43</v>
          </cell>
          <cell r="I48">
            <v>1.0961692162499999</v>
          </cell>
        </row>
        <row r="49">
          <cell r="H49">
            <v>44</v>
          </cell>
          <cell r="I49">
            <v>1.1139078199999999</v>
          </cell>
        </row>
        <row r="50">
          <cell r="H50">
            <v>45</v>
          </cell>
          <cell r="I50">
            <v>1.1336670880681818</v>
          </cell>
        </row>
        <row r="51">
          <cell r="H51">
            <v>46</v>
          </cell>
          <cell r="I51">
            <v>1.1555516686363632</v>
          </cell>
        </row>
        <row r="52">
          <cell r="H52">
            <v>47</v>
          </cell>
          <cell r="I52">
            <v>1.1796662098863635</v>
          </cell>
        </row>
        <row r="53">
          <cell r="H53">
            <v>48</v>
          </cell>
          <cell r="I53">
            <v>1.2061153599999999</v>
          </cell>
        </row>
        <row r="54">
          <cell r="H54">
            <v>49</v>
          </cell>
          <cell r="I54">
            <v>1.2350037671590908</v>
          </cell>
        </row>
        <row r="55">
          <cell r="H55">
            <v>50</v>
          </cell>
          <cell r="I55">
            <v>1.2664360795454543</v>
          </cell>
        </row>
        <row r="56">
          <cell r="H56">
            <v>51</v>
          </cell>
          <cell r="I56">
            <v>1.3005169453409089</v>
          </cell>
        </row>
        <row r="57">
          <cell r="H57">
            <v>52</v>
          </cell>
          <cell r="I57">
            <v>1.3373510127272723</v>
          </cell>
        </row>
        <row r="58">
          <cell r="H58">
            <v>53</v>
          </cell>
          <cell r="I58">
            <v>1.3770429298863631</v>
          </cell>
        </row>
        <row r="59">
          <cell r="H59">
            <v>54</v>
          </cell>
          <cell r="I59">
            <v>1.4196973449999997</v>
          </cell>
        </row>
        <row r="60">
          <cell r="H60">
            <v>55</v>
          </cell>
          <cell r="I60">
            <v>1.4654189062499998</v>
          </cell>
        </row>
        <row r="61">
          <cell r="H61">
            <v>56</v>
          </cell>
          <cell r="I61">
            <v>1.514312261818181</v>
          </cell>
        </row>
        <row r="62">
          <cell r="H62">
            <v>57</v>
          </cell>
          <cell r="I62">
            <v>1.5664820598863627</v>
          </cell>
        </row>
        <row r="63">
          <cell r="H63">
            <v>58</v>
          </cell>
          <cell r="I63">
            <v>1.6220329486363636</v>
          </cell>
        </row>
        <row r="64">
          <cell r="H64">
            <v>59</v>
          </cell>
          <cell r="I64">
            <v>1.6810695762499996</v>
          </cell>
        </row>
        <row r="65">
          <cell r="H65">
            <v>60</v>
          </cell>
          <cell r="I65">
            <v>1.74369659090909</v>
          </cell>
        </row>
        <row r="66">
          <cell r="H66">
            <v>61</v>
          </cell>
          <cell r="I66">
            <v>1.8100186407954544</v>
          </cell>
        </row>
        <row r="67">
          <cell r="H67">
            <v>62</v>
          </cell>
          <cell r="I67">
            <v>1.8801403740909077</v>
          </cell>
        </row>
        <row r="68">
          <cell r="H68">
            <v>63</v>
          </cell>
          <cell r="I68">
            <v>1.9541664389772715</v>
          </cell>
        </row>
        <row r="69">
          <cell r="H69">
            <v>64</v>
          </cell>
          <cell r="I69">
            <v>2.0322014836363627</v>
          </cell>
        </row>
        <row r="70">
          <cell r="H70">
            <v>65</v>
          </cell>
          <cell r="I70">
            <v>2.1143501562499987</v>
          </cell>
        </row>
        <row r="71">
          <cell r="H71">
            <v>66</v>
          </cell>
          <cell r="I71">
            <v>2.200717104999999</v>
          </cell>
        </row>
        <row r="72">
          <cell r="H72">
            <v>67</v>
          </cell>
          <cell r="I72">
            <v>2.2914069780681805</v>
          </cell>
        </row>
        <row r="73">
          <cell r="H73">
            <v>68</v>
          </cell>
          <cell r="I73">
            <v>2.386524423636363</v>
          </cell>
        </row>
        <row r="74">
          <cell r="H74">
            <v>69</v>
          </cell>
          <cell r="I74">
            <v>2.4861740898863625</v>
          </cell>
        </row>
        <row r="75">
          <cell r="H75">
            <v>70</v>
          </cell>
          <cell r="I75">
            <v>2.5904606249999995</v>
          </cell>
        </row>
        <row r="76">
          <cell r="H76">
            <v>71</v>
          </cell>
          <cell r="I76">
            <v>2.6994886771590902</v>
          </cell>
        </row>
        <row r="77">
          <cell r="H77">
            <v>72</v>
          </cell>
          <cell r="I77">
            <v>2.8133628945454534</v>
          </cell>
        </row>
        <row r="78">
          <cell r="H78">
            <v>73</v>
          </cell>
          <cell r="I78">
            <v>2.9321879253409078</v>
          </cell>
        </row>
        <row r="79">
          <cell r="H79">
            <v>74</v>
          </cell>
          <cell r="I79">
            <v>3.0560684177272721</v>
          </cell>
        </row>
        <row r="80">
          <cell r="H80">
            <v>75</v>
          </cell>
          <cell r="I80">
            <v>3.1851090198863625</v>
          </cell>
        </row>
        <row r="81">
          <cell r="H81">
            <v>76</v>
          </cell>
          <cell r="I81">
            <v>3.3194143799999987</v>
          </cell>
        </row>
        <row r="82">
          <cell r="H82">
            <v>77</v>
          </cell>
          <cell r="I82">
            <v>3.4590891462499993</v>
          </cell>
        </row>
        <row r="83">
          <cell r="H83">
            <v>78</v>
          </cell>
          <cell r="I83">
            <v>3.6042379668181805</v>
          </cell>
        </row>
        <row r="84">
          <cell r="H84">
            <v>79</v>
          </cell>
          <cell r="I84">
            <v>3.7549654898863629</v>
          </cell>
        </row>
        <row r="85">
          <cell r="H85">
            <v>80</v>
          </cell>
          <cell r="I85">
            <v>3.9113763636363608</v>
          </cell>
        </row>
        <row r="86">
          <cell r="H86">
            <v>81</v>
          </cell>
          <cell r="I86">
            <v>4.0735752362499982</v>
          </cell>
        </row>
        <row r="87">
          <cell r="H87">
            <v>82</v>
          </cell>
          <cell r="I87">
            <v>4.2416667559090886</v>
          </cell>
        </row>
        <row r="88">
          <cell r="H88">
            <v>83</v>
          </cell>
          <cell r="I88">
            <v>4.4157555707954517</v>
          </cell>
        </row>
        <row r="89">
          <cell r="H89">
            <v>84</v>
          </cell>
          <cell r="I89">
            <v>4.5959463290909071</v>
          </cell>
        </row>
        <row r="90">
          <cell r="H90">
            <v>85</v>
          </cell>
          <cell r="I90">
            <v>4.7823436789772709</v>
          </cell>
        </row>
        <row r="91">
          <cell r="H91">
            <v>86</v>
          </cell>
          <cell r="I91">
            <v>4.975052268636361</v>
          </cell>
        </row>
        <row r="92">
          <cell r="H92">
            <v>87</v>
          </cell>
          <cell r="I92">
            <v>5.174176746249997</v>
          </cell>
        </row>
        <row r="93">
          <cell r="H93">
            <v>88</v>
          </cell>
          <cell r="I93">
            <v>5.3798217599999969</v>
          </cell>
        </row>
        <row r="94">
          <cell r="H94">
            <v>89</v>
          </cell>
          <cell r="I94">
            <v>5.5920919580681785</v>
          </cell>
        </row>
        <row r="95">
          <cell r="H95">
            <v>90</v>
          </cell>
          <cell r="I95">
            <v>5.8110919886363614</v>
          </cell>
        </row>
        <row r="96">
          <cell r="H96">
            <v>91</v>
          </cell>
          <cell r="I96">
            <v>6.0369264998863592</v>
          </cell>
        </row>
        <row r="97">
          <cell r="H97">
            <v>92</v>
          </cell>
          <cell r="I97">
            <v>6.2697001399999959</v>
          </cell>
        </row>
        <row r="98">
          <cell r="H98">
            <v>93</v>
          </cell>
          <cell r="I98">
            <v>6.5095175571590875</v>
          </cell>
        </row>
        <row r="99">
          <cell r="H99">
            <v>94</v>
          </cell>
          <cell r="I99">
            <v>6.7564833995454521</v>
          </cell>
        </row>
        <row r="100">
          <cell r="H100">
            <v>95</v>
          </cell>
          <cell r="I100">
            <v>7.0107023153409056</v>
          </cell>
        </row>
        <row r="101">
          <cell r="H101">
            <v>96</v>
          </cell>
          <cell r="I101">
            <v>7.2722789527272695</v>
          </cell>
        </row>
        <row r="102">
          <cell r="H102">
            <v>97</v>
          </cell>
          <cell r="I102">
            <v>7.54131795988636</v>
          </cell>
        </row>
        <row r="103">
          <cell r="H103">
            <v>98</v>
          </cell>
          <cell r="I103">
            <v>7.8179239849999966</v>
          </cell>
        </row>
        <row r="104">
          <cell r="H104">
            <v>99</v>
          </cell>
          <cell r="I104">
            <v>8.1022016762499955</v>
          </cell>
        </row>
        <row r="105">
          <cell r="H105">
            <v>100</v>
          </cell>
          <cell r="I105">
            <v>8.3942556818181782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ter Main"/>
    </sheetNames>
    <sheetDataSet>
      <sheetData sheetId="0">
        <row r="5">
          <cell r="H5">
            <v>0</v>
          </cell>
          <cell r="I5">
            <v>0.52</v>
          </cell>
        </row>
        <row r="6">
          <cell r="H6">
            <v>1</v>
          </cell>
          <cell r="I6">
            <v>0.61776476895943566</v>
          </cell>
        </row>
        <row r="7">
          <cell r="H7">
            <v>2</v>
          </cell>
          <cell r="I7">
            <v>0.71077677601410938</v>
          </cell>
        </row>
        <row r="8">
          <cell r="H8">
            <v>3</v>
          </cell>
          <cell r="I8">
            <v>0.7991490793650794</v>
          </cell>
        </row>
        <row r="9">
          <cell r="H9">
            <v>4</v>
          </cell>
          <cell r="I9">
            <v>0.88299473721340394</v>
          </cell>
        </row>
        <row r="10">
          <cell r="H10">
            <v>5</v>
          </cell>
          <cell r="I10">
            <v>0.96242680776014122</v>
          </cell>
        </row>
        <row r="11">
          <cell r="H11">
            <v>6</v>
          </cell>
          <cell r="I11">
            <v>1.0375583492063494</v>
          </cell>
        </row>
        <row r="12">
          <cell r="H12">
            <v>7</v>
          </cell>
          <cell r="I12">
            <v>1.1085024197530864</v>
          </cell>
        </row>
        <row r="13">
          <cell r="H13">
            <v>8</v>
          </cell>
          <cell r="I13">
            <v>1.1753720776014109</v>
          </cell>
        </row>
        <row r="14">
          <cell r="H14">
            <v>9</v>
          </cell>
          <cell r="I14">
            <v>1.238280380952381</v>
          </cell>
        </row>
        <row r="15">
          <cell r="H15">
            <v>10</v>
          </cell>
          <cell r="I15">
            <v>1.2973403880070549</v>
          </cell>
        </row>
        <row r="16">
          <cell r="H16">
            <v>11</v>
          </cell>
          <cell r="I16">
            <v>1.3526651569664903</v>
          </cell>
        </row>
        <row r="17">
          <cell r="H17">
            <v>12</v>
          </cell>
          <cell r="I17">
            <v>1.4043677460317461</v>
          </cell>
        </row>
        <row r="18">
          <cell r="H18">
            <v>13</v>
          </cell>
          <cell r="I18">
            <v>1.4525612134038801</v>
          </cell>
        </row>
        <row r="19">
          <cell r="H19">
            <v>14</v>
          </cell>
          <cell r="I19">
            <v>1.4973586172839506</v>
          </cell>
        </row>
        <row r="20">
          <cell r="H20">
            <v>15</v>
          </cell>
          <cell r="I20">
            <v>1.5388730158730159</v>
          </cell>
        </row>
        <row r="21">
          <cell r="H21">
            <v>16</v>
          </cell>
          <cell r="I21">
            <v>1.5772174673721342</v>
          </cell>
        </row>
        <row r="22">
          <cell r="H22">
            <v>17</v>
          </cell>
          <cell r="I22">
            <v>1.6125050299823633</v>
          </cell>
        </row>
        <row r="23">
          <cell r="H23">
            <v>18</v>
          </cell>
          <cell r="I23">
            <v>1.644848761904762</v>
          </cell>
        </row>
        <row r="24">
          <cell r="H24">
            <v>19</v>
          </cell>
          <cell r="I24">
            <v>1.6743617213403881</v>
          </cell>
        </row>
        <row r="25">
          <cell r="H25">
            <v>20</v>
          </cell>
          <cell r="I25">
            <v>1.7011569664903003</v>
          </cell>
        </row>
        <row r="26">
          <cell r="H26">
            <v>21</v>
          </cell>
          <cell r="I26">
            <v>1.7253475555555555</v>
          </cell>
        </row>
        <row r="27">
          <cell r="H27">
            <v>22</v>
          </cell>
          <cell r="I27">
            <v>1.7470465467372134</v>
          </cell>
        </row>
        <row r="28">
          <cell r="H28">
            <v>23</v>
          </cell>
          <cell r="I28">
            <v>1.7663669982363317</v>
          </cell>
        </row>
        <row r="29">
          <cell r="H29">
            <v>24</v>
          </cell>
          <cell r="I29">
            <v>1.7834219682539685</v>
          </cell>
        </row>
        <row r="30">
          <cell r="H30">
            <v>25</v>
          </cell>
          <cell r="I30">
            <v>1.798324514991182</v>
          </cell>
        </row>
        <row r="31">
          <cell r="H31">
            <v>26</v>
          </cell>
          <cell r="I31">
            <v>1.8111876966490303</v>
          </cell>
        </row>
        <row r="32">
          <cell r="H32">
            <v>27</v>
          </cell>
          <cell r="I32">
            <v>1.8221245714285719</v>
          </cell>
        </row>
        <row r="33">
          <cell r="H33">
            <v>28</v>
          </cell>
          <cell r="I33">
            <v>1.8312481975308643</v>
          </cell>
        </row>
        <row r="34">
          <cell r="H34">
            <v>29</v>
          </cell>
          <cell r="I34">
            <v>1.8386716331569664</v>
          </cell>
        </row>
        <row r="35">
          <cell r="H35">
            <v>30</v>
          </cell>
          <cell r="I35">
            <v>1.8445079365079367</v>
          </cell>
        </row>
        <row r="36">
          <cell r="H36">
            <v>31</v>
          </cell>
          <cell r="I36">
            <v>1.8488701657848328</v>
          </cell>
        </row>
        <row r="37">
          <cell r="H37">
            <v>32</v>
          </cell>
          <cell r="I37">
            <v>1.8518713791887129</v>
          </cell>
        </row>
        <row r="38">
          <cell r="H38">
            <v>33</v>
          </cell>
          <cell r="I38">
            <v>1.8536246349206356</v>
          </cell>
        </row>
        <row r="39">
          <cell r="H39">
            <v>34</v>
          </cell>
          <cell r="I39">
            <v>1.8542429911816583</v>
          </cell>
        </row>
        <row r="40">
          <cell r="H40">
            <v>35</v>
          </cell>
          <cell r="I40">
            <v>1.8538395061728399</v>
          </cell>
        </row>
        <row r="41">
          <cell r="H41">
            <v>36</v>
          </cell>
          <cell r="I41">
            <v>1.8525272380952384</v>
          </cell>
        </row>
        <row r="42">
          <cell r="H42">
            <v>37</v>
          </cell>
          <cell r="I42">
            <v>1.8504192451499115</v>
          </cell>
        </row>
        <row r="43">
          <cell r="H43">
            <v>38</v>
          </cell>
          <cell r="I43">
            <v>1.8476285855379189</v>
          </cell>
        </row>
        <row r="44">
          <cell r="H44">
            <v>39</v>
          </cell>
          <cell r="I44">
            <v>1.8442683174603176</v>
          </cell>
        </row>
        <row r="45">
          <cell r="H45">
            <v>40</v>
          </cell>
          <cell r="I45">
            <v>1.8404514991181666</v>
          </cell>
        </row>
        <row r="46">
          <cell r="H46">
            <v>41</v>
          </cell>
          <cell r="I46">
            <v>1.8362911887125217</v>
          </cell>
        </row>
        <row r="47">
          <cell r="H47">
            <v>42</v>
          </cell>
          <cell r="I47">
            <v>1.8319004444444444</v>
          </cell>
        </row>
        <row r="48">
          <cell r="H48">
            <v>43</v>
          </cell>
          <cell r="I48">
            <v>1.827392324514991</v>
          </cell>
        </row>
        <row r="49">
          <cell r="H49">
            <v>44</v>
          </cell>
          <cell r="I49">
            <v>1.8228798871252203</v>
          </cell>
        </row>
        <row r="50">
          <cell r="H50">
            <v>45</v>
          </cell>
          <cell r="I50">
            <v>1.8184761904761904</v>
          </cell>
        </row>
        <row r="51">
          <cell r="H51">
            <v>46</v>
          </cell>
          <cell r="I51">
            <v>1.8142942927689591</v>
          </cell>
        </row>
        <row r="52">
          <cell r="H52">
            <v>47</v>
          </cell>
          <cell r="I52">
            <v>1.8104472522045856</v>
          </cell>
        </row>
        <row r="53">
          <cell r="H53">
            <v>48</v>
          </cell>
          <cell r="I53">
            <v>1.8070481269841272</v>
          </cell>
        </row>
        <row r="54">
          <cell r="H54">
            <v>49</v>
          </cell>
          <cell r="I54">
            <v>1.8042099753086416</v>
          </cell>
        </row>
        <row r="55">
          <cell r="H55">
            <v>50</v>
          </cell>
          <cell r="I55">
            <v>1.8020458553791885</v>
          </cell>
        </row>
        <row r="56">
          <cell r="H56">
            <v>51</v>
          </cell>
          <cell r="I56">
            <v>1.8006688253968255</v>
          </cell>
        </row>
        <row r="57">
          <cell r="H57">
            <v>52</v>
          </cell>
          <cell r="I57">
            <v>1.8001919435626101</v>
          </cell>
        </row>
        <row r="58">
          <cell r="H58">
            <v>53</v>
          </cell>
          <cell r="I58">
            <v>1.8007282680776018</v>
          </cell>
        </row>
        <row r="59">
          <cell r="H59">
            <v>54</v>
          </cell>
          <cell r="I59">
            <v>1.8023908571428566</v>
          </cell>
        </row>
        <row r="60">
          <cell r="H60">
            <v>55</v>
          </cell>
          <cell r="I60">
            <v>1.8052927689594358</v>
          </cell>
        </row>
        <row r="61">
          <cell r="H61">
            <v>56</v>
          </cell>
          <cell r="I61">
            <v>1.8095470617283946</v>
          </cell>
        </row>
        <row r="62">
          <cell r="H62">
            <v>57</v>
          </cell>
          <cell r="I62">
            <v>1.8152667936507929</v>
          </cell>
        </row>
        <row r="63">
          <cell r="H63">
            <v>58</v>
          </cell>
          <cell r="I63">
            <v>1.8225650229276877</v>
          </cell>
        </row>
        <row r="64">
          <cell r="H64">
            <v>59</v>
          </cell>
          <cell r="I64">
            <v>1.8315548077601407</v>
          </cell>
        </row>
        <row r="65">
          <cell r="H65">
            <v>60</v>
          </cell>
          <cell r="I65">
            <v>1.8423492063492053</v>
          </cell>
        </row>
        <row r="66">
          <cell r="H66">
            <v>61</v>
          </cell>
          <cell r="I66">
            <v>1.8550612768959422</v>
          </cell>
        </row>
        <row r="67">
          <cell r="H67">
            <v>62</v>
          </cell>
          <cell r="I67">
            <v>1.8698040776014104</v>
          </cell>
        </row>
        <row r="68">
          <cell r="H68">
            <v>63</v>
          </cell>
          <cell r="I68">
            <v>1.8866906666666652</v>
          </cell>
        </row>
        <row r="69">
          <cell r="H69">
            <v>64</v>
          </cell>
          <cell r="I69">
            <v>1.9058341022927681</v>
          </cell>
        </row>
        <row r="70">
          <cell r="H70">
            <v>65</v>
          </cell>
          <cell r="I70">
            <v>1.9273474426807753</v>
          </cell>
        </row>
        <row r="71">
          <cell r="H71">
            <v>66</v>
          </cell>
          <cell r="I71">
            <v>1.9513437460317458</v>
          </cell>
        </row>
        <row r="72">
          <cell r="H72">
            <v>67</v>
          </cell>
          <cell r="I72">
            <v>1.9779360705467357</v>
          </cell>
        </row>
        <row r="73">
          <cell r="H73">
            <v>68</v>
          </cell>
          <cell r="I73">
            <v>2.0072374744268058</v>
          </cell>
        </row>
        <row r="74">
          <cell r="H74">
            <v>69</v>
          </cell>
          <cell r="I74">
            <v>2.0393610158730158</v>
          </cell>
        </row>
        <row r="75">
          <cell r="H75">
            <v>70</v>
          </cell>
          <cell r="I75">
            <v>2.0744197530864192</v>
          </cell>
        </row>
        <row r="76">
          <cell r="H76">
            <v>71</v>
          </cell>
          <cell r="I76">
            <v>2.112526744268076</v>
          </cell>
        </row>
        <row r="77">
          <cell r="H77">
            <v>72</v>
          </cell>
          <cell r="I77">
            <v>2.1537950476190457</v>
          </cell>
        </row>
        <row r="78">
          <cell r="H78">
            <v>73</v>
          </cell>
          <cell r="I78">
            <v>2.1983377213403865</v>
          </cell>
        </row>
        <row r="79">
          <cell r="H79">
            <v>74</v>
          </cell>
          <cell r="I79">
            <v>2.2462678236331537</v>
          </cell>
        </row>
        <row r="80">
          <cell r="H80">
            <v>75</v>
          </cell>
          <cell r="I80">
            <v>2.2976984126984106</v>
          </cell>
        </row>
        <row r="81">
          <cell r="H81">
            <v>76</v>
          </cell>
          <cell r="I81">
            <v>2.3527425467372107</v>
          </cell>
        </row>
        <row r="82">
          <cell r="H82">
            <v>77</v>
          </cell>
          <cell r="I82">
            <v>2.411513283950613</v>
          </cell>
        </row>
        <row r="83">
          <cell r="H83">
            <v>78</v>
          </cell>
          <cell r="I83">
            <v>2.47412368253968</v>
          </cell>
        </row>
        <row r="84">
          <cell r="H84">
            <v>79</v>
          </cell>
          <cell r="I84">
            <v>2.5406868007054633</v>
          </cell>
        </row>
        <row r="85">
          <cell r="H85">
            <v>80</v>
          </cell>
          <cell r="I85">
            <v>2.6113156966490281</v>
          </cell>
        </row>
        <row r="86">
          <cell r="H86">
            <v>81</v>
          </cell>
          <cell r="I86">
            <v>2.6861234285714262</v>
          </cell>
        </row>
        <row r="87">
          <cell r="H87">
            <v>82</v>
          </cell>
          <cell r="I87">
            <v>2.7652230546737155</v>
          </cell>
        </row>
        <row r="88">
          <cell r="H88">
            <v>83</v>
          </cell>
          <cell r="I88">
            <v>2.8487276331569622</v>
          </cell>
        </row>
        <row r="89">
          <cell r="H89">
            <v>84</v>
          </cell>
          <cell r="I89">
            <v>2.9367502222222179</v>
          </cell>
        </row>
        <row r="90">
          <cell r="H90">
            <v>85</v>
          </cell>
          <cell r="I90">
            <v>3.0294038800705434</v>
          </cell>
        </row>
        <row r="91">
          <cell r="H91">
            <v>86</v>
          </cell>
          <cell r="I91">
            <v>3.1268016649029922</v>
          </cell>
        </row>
        <row r="92">
          <cell r="H92">
            <v>87</v>
          </cell>
          <cell r="I92">
            <v>3.2290566349206302</v>
          </cell>
        </row>
        <row r="93">
          <cell r="H93">
            <v>88</v>
          </cell>
          <cell r="I93">
            <v>3.3362818483245094</v>
          </cell>
        </row>
        <row r="94">
          <cell r="H94">
            <v>89</v>
          </cell>
          <cell r="I94">
            <v>3.448590363315692</v>
          </cell>
        </row>
        <row r="95">
          <cell r="H95">
            <v>90</v>
          </cell>
          <cell r="I95">
            <v>3.5660952380952335</v>
          </cell>
        </row>
        <row r="96">
          <cell r="H96">
            <v>91</v>
          </cell>
          <cell r="I96">
            <v>3.6889095308641928</v>
          </cell>
        </row>
        <row r="97">
          <cell r="H97">
            <v>92</v>
          </cell>
          <cell r="I97">
            <v>3.817146299823627</v>
          </cell>
        </row>
        <row r="98">
          <cell r="H98">
            <v>93</v>
          </cell>
          <cell r="I98">
            <v>3.9509186031745966</v>
          </cell>
        </row>
        <row r="99">
          <cell r="H99">
            <v>94</v>
          </cell>
          <cell r="I99">
            <v>4.0903394991181585</v>
          </cell>
        </row>
        <row r="100">
          <cell r="H100">
            <v>95</v>
          </cell>
          <cell r="I100">
            <v>4.2355220458553724</v>
          </cell>
        </row>
        <row r="101">
          <cell r="H101">
            <v>96</v>
          </cell>
          <cell r="I101">
            <v>4.3865793015872949</v>
          </cell>
        </row>
        <row r="102">
          <cell r="H102">
            <v>97</v>
          </cell>
          <cell r="I102">
            <v>4.5436243245149832</v>
          </cell>
        </row>
        <row r="103">
          <cell r="H103">
            <v>98</v>
          </cell>
          <cell r="I103">
            <v>4.7067701728394962</v>
          </cell>
        </row>
        <row r="104">
          <cell r="H104">
            <v>99</v>
          </cell>
          <cell r="I104">
            <v>4.8761299047618962</v>
          </cell>
        </row>
        <row r="105">
          <cell r="H105">
            <v>100</v>
          </cell>
          <cell r="I105">
            <v>5.0518165784832352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ter Main"/>
    </sheetNames>
    <sheetDataSet>
      <sheetData sheetId="0">
        <row r="5">
          <cell r="H5">
            <v>0</v>
          </cell>
          <cell r="I5">
            <v>0.52</v>
          </cell>
        </row>
        <row r="6">
          <cell r="H6">
            <v>1</v>
          </cell>
          <cell r="I6">
            <v>0.51591813874191661</v>
          </cell>
        </row>
        <row r="7">
          <cell r="H7">
            <v>2</v>
          </cell>
          <cell r="I7">
            <v>0.51343519811875382</v>
          </cell>
        </row>
        <row r="8">
          <cell r="H8">
            <v>3</v>
          </cell>
          <cell r="I8">
            <v>0.51252741798941814</v>
          </cell>
        </row>
        <row r="9">
          <cell r="H9">
            <v>4</v>
          </cell>
          <cell r="I9">
            <v>0.51317103821281618</v>
          </cell>
        </row>
        <row r="10">
          <cell r="H10">
            <v>5</v>
          </cell>
          <cell r="I10">
            <v>0.51534229864785441</v>
          </cell>
        </row>
        <row r="11">
          <cell r="H11">
            <v>6</v>
          </cell>
          <cell r="I11">
            <v>0.51901743915343934</v>
          </cell>
        </row>
        <row r="12">
          <cell r="H12">
            <v>7</v>
          </cell>
          <cell r="I12">
            <v>0.52417269958847756</v>
          </cell>
        </row>
        <row r="13">
          <cell r="H13">
            <v>8</v>
          </cell>
          <cell r="I13">
            <v>0.53078431981187557</v>
          </cell>
        </row>
        <row r="14">
          <cell r="H14">
            <v>9</v>
          </cell>
          <cell r="I14">
            <v>0.53882853968253996</v>
          </cell>
        </row>
        <row r="15">
          <cell r="H15">
            <v>10</v>
          </cell>
          <cell r="I15">
            <v>0.54828159905937712</v>
          </cell>
        </row>
        <row r="16">
          <cell r="H16">
            <v>11</v>
          </cell>
          <cell r="I16">
            <v>0.55911973780129365</v>
          </cell>
        </row>
        <row r="17">
          <cell r="H17">
            <v>12</v>
          </cell>
          <cell r="I17">
            <v>0.57131919576719603</v>
          </cell>
        </row>
        <row r="18">
          <cell r="H18">
            <v>13</v>
          </cell>
          <cell r="I18">
            <v>0.58485621281599087</v>
          </cell>
        </row>
        <row r="19">
          <cell r="H19">
            <v>14</v>
          </cell>
          <cell r="I19">
            <v>0.59970702880658466</v>
          </cell>
        </row>
        <row r="20">
          <cell r="H20">
            <v>15</v>
          </cell>
          <cell r="I20">
            <v>0.61584788359788389</v>
          </cell>
        </row>
        <row r="21">
          <cell r="H21">
            <v>16</v>
          </cell>
          <cell r="I21">
            <v>0.63325501704879505</v>
          </cell>
        </row>
        <row r="22">
          <cell r="H22">
            <v>17</v>
          </cell>
          <cell r="I22">
            <v>0.65190466901822486</v>
          </cell>
        </row>
        <row r="23">
          <cell r="H23">
            <v>18</v>
          </cell>
          <cell r="I23">
            <v>0.67177307936507957</v>
          </cell>
        </row>
        <row r="24">
          <cell r="H24">
            <v>19</v>
          </cell>
          <cell r="I24">
            <v>0.69283648794826591</v>
          </cell>
        </row>
        <row r="25">
          <cell r="H25">
            <v>20</v>
          </cell>
          <cell r="I25">
            <v>0.71507113462669047</v>
          </cell>
        </row>
        <row r="26">
          <cell r="H26">
            <v>21</v>
          </cell>
          <cell r="I26">
            <v>0.73845325925925942</v>
          </cell>
        </row>
        <row r="27">
          <cell r="H27">
            <v>22</v>
          </cell>
          <cell r="I27">
            <v>0.76295910170487957</v>
          </cell>
        </row>
        <row r="28">
          <cell r="H28">
            <v>23</v>
          </cell>
          <cell r="I28">
            <v>0.78856490182245742</v>
          </cell>
        </row>
        <row r="29">
          <cell r="H29">
            <v>24</v>
          </cell>
          <cell r="I29">
            <v>0.81524689947089957</v>
          </cell>
        </row>
        <row r="30">
          <cell r="H30">
            <v>25</v>
          </cell>
          <cell r="I30">
            <v>0.84298133450911239</v>
          </cell>
        </row>
        <row r="31">
          <cell r="H31">
            <v>26</v>
          </cell>
          <cell r="I31">
            <v>0.87174444679600249</v>
          </cell>
        </row>
        <row r="32">
          <cell r="H32">
            <v>27</v>
          </cell>
          <cell r="I32">
            <v>0.90151247619047625</v>
          </cell>
        </row>
        <row r="33">
          <cell r="H33">
            <v>28</v>
          </cell>
          <cell r="I33">
            <v>0.93226166255144038</v>
          </cell>
        </row>
        <row r="34">
          <cell r="H34">
            <v>29</v>
          </cell>
          <cell r="I34">
            <v>0.96396824573780127</v>
          </cell>
        </row>
        <row r="35">
          <cell r="H35">
            <v>30</v>
          </cell>
          <cell r="I35">
            <v>0.99660846560846561</v>
          </cell>
        </row>
        <row r="36">
          <cell r="H36">
            <v>31</v>
          </cell>
          <cell r="I36">
            <v>1.0301585620223397</v>
          </cell>
        </row>
        <row r="37">
          <cell r="H37">
            <v>32</v>
          </cell>
          <cell r="I37">
            <v>1.0645947748383304</v>
          </cell>
        </row>
        <row r="38">
          <cell r="H38">
            <v>33</v>
          </cell>
          <cell r="I38">
            <v>1.0998933439153438</v>
          </cell>
        </row>
        <row r="39">
          <cell r="H39">
            <v>34</v>
          </cell>
          <cell r="I39">
            <v>1.1360305091122869</v>
          </cell>
        </row>
        <row r="40">
          <cell r="H40">
            <v>35</v>
          </cell>
          <cell r="I40">
            <v>1.1729825102880658</v>
          </cell>
        </row>
        <row r="41">
          <cell r="H41">
            <v>36</v>
          </cell>
          <cell r="I41">
            <v>1.210725587301587</v>
          </cell>
        </row>
        <row r="42">
          <cell r="H42">
            <v>37</v>
          </cell>
          <cell r="I42">
            <v>1.2492359800117576</v>
          </cell>
        </row>
        <row r="43">
          <cell r="H43">
            <v>38</v>
          </cell>
          <cell r="I43">
            <v>1.2884899282774835</v>
          </cell>
        </row>
        <row r="44">
          <cell r="H44">
            <v>39</v>
          </cell>
          <cell r="I44">
            <v>1.3284636719576719</v>
          </cell>
        </row>
        <row r="45">
          <cell r="H45">
            <v>40</v>
          </cell>
          <cell r="I45">
            <v>1.3691334509112285</v>
          </cell>
        </row>
        <row r="46">
          <cell r="H46">
            <v>41</v>
          </cell>
          <cell r="I46">
            <v>1.4104755049970601</v>
          </cell>
        </row>
        <row r="47">
          <cell r="H47">
            <v>42</v>
          </cell>
          <cell r="I47">
            <v>1.4524660740740738</v>
          </cell>
        </row>
        <row r="48">
          <cell r="H48">
            <v>43</v>
          </cell>
          <cell r="I48">
            <v>1.4950813980011755</v>
          </cell>
        </row>
        <row r="49">
          <cell r="H49">
            <v>44</v>
          </cell>
          <cell r="I49">
            <v>1.5382977166372718</v>
          </cell>
        </row>
        <row r="50">
          <cell r="H50">
            <v>45</v>
          </cell>
          <cell r="I50">
            <v>1.5820912698412692</v>
          </cell>
        </row>
        <row r="51">
          <cell r="H51">
            <v>46</v>
          </cell>
          <cell r="I51">
            <v>1.6264382974720748</v>
          </cell>
        </row>
        <row r="52">
          <cell r="H52">
            <v>47</v>
          </cell>
          <cell r="I52">
            <v>1.6713150393885945</v>
          </cell>
        </row>
        <row r="53">
          <cell r="H53">
            <v>48</v>
          </cell>
          <cell r="I53">
            <v>1.7166977354497348</v>
          </cell>
        </row>
        <row r="54">
          <cell r="H54">
            <v>49</v>
          </cell>
          <cell r="I54">
            <v>1.7625626255144025</v>
          </cell>
        </row>
        <row r="55">
          <cell r="H55">
            <v>50</v>
          </cell>
          <cell r="I55">
            <v>1.8088859494415044</v>
          </cell>
        </row>
        <row r="56">
          <cell r="H56">
            <v>51</v>
          </cell>
          <cell r="I56">
            <v>1.8556439470899466</v>
          </cell>
        </row>
        <row r="57">
          <cell r="H57">
            <v>52</v>
          </cell>
          <cell r="I57">
            <v>1.9028128583186352</v>
          </cell>
        </row>
        <row r="58">
          <cell r="H58">
            <v>53</v>
          </cell>
          <cell r="I58">
            <v>1.9503689229864778</v>
          </cell>
        </row>
        <row r="59">
          <cell r="H59">
            <v>54</v>
          </cell>
          <cell r="I59">
            <v>1.9982883809523801</v>
          </cell>
        </row>
        <row r="60">
          <cell r="H60">
            <v>55</v>
          </cell>
          <cell r="I60">
            <v>2.0465474720752486</v>
          </cell>
        </row>
        <row r="61">
          <cell r="H61">
            <v>56</v>
          </cell>
          <cell r="I61">
            <v>2.0951224362139911</v>
          </cell>
        </row>
        <row r="62">
          <cell r="H62">
            <v>57</v>
          </cell>
          <cell r="I62">
            <v>2.1439895132275124</v>
          </cell>
        </row>
        <row r="63">
          <cell r="H63">
            <v>58</v>
          </cell>
          <cell r="I63">
            <v>2.1931249429747197</v>
          </cell>
        </row>
        <row r="64">
          <cell r="H64">
            <v>59</v>
          </cell>
          <cell r="I64">
            <v>2.2425049653145201</v>
          </cell>
        </row>
        <row r="65">
          <cell r="H65">
            <v>60</v>
          </cell>
          <cell r="I65">
            <v>2.2921058201058191</v>
          </cell>
        </row>
        <row r="66">
          <cell r="H66">
            <v>61</v>
          </cell>
          <cell r="I66">
            <v>2.3419037472075246</v>
          </cell>
        </row>
        <row r="67">
          <cell r="H67">
            <v>62</v>
          </cell>
          <cell r="I67">
            <v>2.3918749864785411</v>
          </cell>
        </row>
        <row r="68">
          <cell r="H68">
            <v>63</v>
          </cell>
          <cell r="I68">
            <v>2.4419957777777772</v>
          </cell>
        </row>
        <row r="69">
          <cell r="H69">
            <v>64</v>
          </cell>
          <cell r="I69">
            <v>2.4922423609641378</v>
          </cell>
        </row>
        <row r="70">
          <cell r="H70">
            <v>65</v>
          </cell>
          <cell r="I70">
            <v>2.5425909758965304</v>
          </cell>
        </row>
        <row r="71">
          <cell r="H71">
            <v>66</v>
          </cell>
          <cell r="I71">
            <v>2.5930178624338618</v>
          </cell>
        </row>
        <row r="72">
          <cell r="H72">
            <v>67</v>
          </cell>
          <cell r="I72">
            <v>2.6434992604350378</v>
          </cell>
        </row>
        <row r="73">
          <cell r="H73">
            <v>68</v>
          </cell>
          <cell r="I73">
            <v>2.6940114097589647</v>
          </cell>
        </row>
        <row r="74">
          <cell r="H74">
            <v>69</v>
          </cell>
          <cell r="I74">
            <v>2.7445305502645501</v>
          </cell>
        </row>
        <row r="75">
          <cell r="H75">
            <v>70</v>
          </cell>
          <cell r="I75">
            <v>2.7950329218106988</v>
          </cell>
        </row>
        <row r="76">
          <cell r="H76">
            <v>71</v>
          </cell>
          <cell r="I76">
            <v>2.8454947642563191</v>
          </cell>
        </row>
        <row r="77">
          <cell r="H77">
            <v>72</v>
          </cell>
          <cell r="I77">
            <v>2.8958923174603166</v>
          </cell>
        </row>
        <row r="78">
          <cell r="H78">
            <v>73</v>
          </cell>
          <cell r="I78">
            <v>2.9462018212815981</v>
          </cell>
        </row>
        <row r="79">
          <cell r="H79">
            <v>74</v>
          </cell>
          <cell r="I79">
            <v>2.9963995155790708</v>
          </cell>
        </row>
        <row r="80">
          <cell r="H80">
            <v>75</v>
          </cell>
          <cell r="I80">
            <v>3.04646164021164</v>
          </cell>
        </row>
        <row r="81">
          <cell r="H81">
            <v>76</v>
          </cell>
          <cell r="I81">
            <v>3.096364435038212</v>
          </cell>
        </row>
        <row r="82">
          <cell r="H82">
            <v>77</v>
          </cell>
          <cell r="I82">
            <v>3.1460841399176953</v>
          </cell>
        </row>
        <row r="83">
          <cell r="H83">
            <v>78</v>
          </cell>
          <cell r="I83">
            <v>3.1955969947089948</v>
          </cell>
        </row>
        <row r="84">
          <cell r="H84">
            <v>79</v>
          </cell>
          <cell r="I84">
            <v>3.2448792392710168</v>
          </cell>
        </row>
        <row r="85">
          <cell r="H85">
            <v>80</v>
          </cell>
          <cell r="I85">
            <v>3.293907113462669</v>
          </cell>
        </row>
        <row r="86">
          <cell r="H86">
            <v>81</v>
          </cell>
          <cell r="I86">
            <v>3.3426568571428574</v>
          </cell>
        </row>
        <row r="87">
          <cell r="H87">
            <v>82</v>
          </cell>
          <cell r="I87">
            <v>3.3911047101704876</v>
          </cell>
        </row>
        <row r="88">
          <cell r="H88">
            <v>83</v>
          </cell>
          <cell r="I88">
            <v>3.4392269124044681</v>
          </cell>
        </row>
        <row r="89">
          <cell r="H89">
            <v>84</v>
          </cell>
          <cell r="I89">
            <v>3.4869997037037037</v>
          </cell>
        </row>
        <row r="90">
          <cell r="H90">
            <v>85</v>
          </cell>
          <cell r="I90">
            <v>3.5343993239271017</v>
          </cell>
        </row>
        <row r="91">
          <cell r="H91">
            <v>86</v>
          </cell>
          <cell r="I91">
            <v>3.5814020129335686</v>
          </cell>
        </row>
        <row r="92">
          <cell r="H92">
            <v>87</v>
          </cell>
          <cell r="I92">
            <v>3.6279840105820105</v>
          </cell>
        </row>
        <row r="93">
          <cell r="H93">
            <v>88</v>
          </cell>
          <cell r="I93">
            <v>3.6741215567313348</v>
          </cell>
        </row>
        <row r="94">
          <cell r="H94">
            <v>89</v>
          </cell>
          <cell r="I94">
            <v>3.7197908912404469</v>
          </cell>
        </row>
        <row r="95">
          <cell r="H95">
            <v>90</v>
          </cell>
          <cell r="I95">
            <v>3.7649682539682541</v>
          </cell>
        </row>
        <row r="96">
          <cell r="H96">
            <v>91</v>
          </cell>
          <cell r="I96">
            <v>3.8096298847736634</v>
          </cell>
        </row>
        <row r="97">
          <cell r="H97">
            <v>92</v>
          </cell>
          <cell r="I97">
            <v>3.8537520235155798</v>
          </cell>
        </row>
        <row r="98">
          <cell r="H98">
            <v>93</v>
          </cell>
          <cell r="I98">
            <v>3.8973109100529109</v>
          </cell>
        </row>
        <row r="99">
          <cell r="H99">
            <v>94</v>
          </cell>
          <cell r="I99">
            <v>3.9402827842445634</v>
          </cell>
        </row>
        <row r="100">
          <cell r="H100">
            <v>95</v>
          </cell>
          <cell r="I100">
            <v>3.9826438859494431</v>
          </cell>
        </row>
        <row r="101">
          <cell r="H101">
            <v>96</v>
          </cell>
          <cell r="I101">
            <v>4.0243704550264567</v>
          </cell>
        </row>
        <row r="102">
          <cell r="H102">
            <v>97</v>
          </cell>
          <cell r="I102">
            <v>4.0654387313345097</v>
          </cell>
        </row>
        <row r="103">
          <cell r="H103">
            <v>98</v>
          </cell>
          <cell r="I103">
            <v>4.1058249547325119</v>
          </cell>
        </row>
        <row r="104">
          <cell r="H104">
            <v>99</v>
          </cell>
          <cell r="I104">
            <v>4.1455053650793667</v>
          </cell>
        </row>
        <row r="105">
          <cell r="H105">
            <v>100</v>
          </cell>
          <cell r="I105">
            <v>4.1844562022339815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17"/>
  <sheetViews>
    <sheetView showGridLines="0" tabSelected="1" view="pageBreakPreview" topLeftCell="A4" zoomScaleNormal="100" zoomScaleSheetLayoutView="100" workbookViewId="0">
      <selection activeCell="H12" sqref="H12"/>
    </sheetView>
  </sheetViews>
  <sheetFormatPr defaultRowHeight="15" x14ac:dyDescent="0.25"/>
  <cols>
    <col min="1" max="1" width="3.85546875" customWidth="1"/>
    <col min="2" max="2" width="114.140625" customWidth="1"/>
    <col min="3" max="3" width="2.28515625" customWidth="1"/>
  </cols>
  <sheetData>
    <row r="5" spans="2:2" ht="14.65" x14ac:dyDescent="0.35">
      <c r="B5" s="1"/>
    </row>
    <row r="8" spans="2:2" ht="20.65" x14ac:dyDescent="0.45">
      <c r="B8" s="65" t="s">
        <v>382</v>
      </c>
    </row>
    <row r="9" spans="2:2" ht="14.65" x14ac:dyDescent="0.35">
      <c r="B9" s="62"/>
    </row>
    <row r="10" spans="2:2" ht="14.65" x14ac:dyDescent="0.35">
      <c r="B10" s="63" t="s">
        <v>172</v>
      </c>
    </row>
    <row r="11" spans="2:2" ht="14.65" x14ac:dyDescent="0.35">
      <c r="B11" s="62"/>
    </row>
    <row r="12" spans="2:2" ht="98.65" x14ac:dyDescent="0.35">
      <c r="B12" s="64" t="s">
        <v>274</v>
      </c>
    </row>
    <row r="13" spans="2:2" ht="14.65" x14ac:dyDescent="0.35">
      <c r="B13" s="62"/>
    </row>
    <row r="14" spans="2:2" ht="14.65" x14ac:dyDescent="0.35">
      <c r="B14" s="62"/>
    </row>
    <row r="15" spans="2:2" ht="14.65" x14ac:dyDescent="0.35">
      <c r="B15" s="63" t="s">
        <v>173</v>
      </c>
    </row>
    <row r="16" spans="2:2" ht="14.65" x14ac:dyDescent="0.35">
      <c r="B16" s="62"/>
    </row>
    <row r="17" spans="2:2" ht="210.4" x14ac:dyDescent="0.35">
      <c r="B17" s="64" t="s">
        <v>406</v>
      </c>
    </row>
  </sheetData>
  <sheetProtection algorithmName="SHA-512" hashValue="G+3xPWBFTt16eSCrN6Ysf+bV7WaQHP/S1XFgQwlcpmr0K1WCAZiAyD/mRH9H87BDYxYB+DMxQM1yO0grsgXuMQ==" saltValue="bEpAo+Fwbq+SoqHCKYb9yA==" spinCount="100000" sheet="1" objects="1" scenarios="1"/>
  <pageMargins left="0.7" right="0.7" top="0.75" bottom="0.75" header="0.3" footer="0.3"/>
  <pageSetup paperSize="9" scale="7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D98"/>
  <sheetViews>
    <sheetView showGridLines="0" view="pageBreakPreview" zoomScaleNormal="100" zoomScaleSheetLayoutView="100" workbookViewId="0">
      <selection activeCell="D12" sqref="D12"/>
    </sheetView>
  </sheetViews>
  <sheetFormatPr defaultColWidth="8.7109375" defaultRowHeight="14.25" x14ac:dyDescent="0.2"/>
  <cols>
    <col min="1" max="3" width="8.7109375" style="62"/>
    <col min="4" max="4" width="101.42578125" style="62" customWidth="1"/>
    <col min="5" max="16384" width="8.7109375" style="62"/>
  </cols>
  <sheetData>
    <row r="7" spans="2:4" ht="20.65" x14ac:dyDescent="0.45">
      <c r="B7" s="65" t="s">
        <v>176</v>
      </c>
    </row>
    <row r="9" spans="2:4" ht="13.9" x14ac:dyDescent="0.3">
      <c r="B9" s="66" t="s">
        <v>41</v>
      </c>
      <c r="C9" s="93"/>
      <c r="D9" s="93"/>
    </row>
    <row r="10" spans="2:4" ht="13.9" x14ac:dyDescent="0.3">
      <c r="C10" s="94" t="s">
        <v>177</v>
      </c>
      <c r="D10" s="93"/>
    </row>
    <row r="11" spans="2:4" ht="13.9" x14ac:dyDescent="0.3">
      <c r="C11" s="95" t="s">
        <v>40</v>
      </c>
      <c r="D11" s="96" t="s">
        <v>163</v>
      </c>
    </row>
    <row r="12" spans="2:4" ht="28.15" x14ac:dyDescent="0.3">
      <c r="C12" s="93"/>
      <c r="D12" s="96" t="s">
        <v>164</v>
      </c>
    </row>
    <row r="13" spans="2:4" ht="28.15" x14ac:dyDescent="0.3">
      <c r="C13" s="93"/>
      <c r="D13" s="96" t="s">
        <v>165</v>
      </c>
    </row>
    <row r="14" spans="2:4" ht="13.9" x14ac:dyDescent="0.3">
      <c r="C14" s="97" t="s">
        <v>42</v>
      </c>
      <c r="D14" s="96" t="s">
        <v>250</v>
      </c>
    </row>
    <row r="15" spans="2:4" ht="13.9" x14ac:dyDescent="0.3">
      <c r="C15" s="93"/>
      <c r="D15" s="96"/>
    </row>
    <row r="16" spans="2:4" ht="13.9" x14ac:dyDescent="0.3">
      <c r="C16" s="93"/>
      <c r="D16" s="96"/>
    </row>
    <row r="17" spans="2:4" ht="13.9" x14ac:dyDescent="0.3">
      <c r="B17" s="66" t="s">
        <v>147</v>
      </c>
      <c r="C17" s="93"/>
      <c r="D17" s="96"/>
    </row>
    <row r="18" spans="2:4" ht="13.9" x14ac:dyDescent="0.3">
      <c r="C18" s="94" t="s">
        <v>50</v>
      </c>
      <c r="D18" s="96"/>
    </row>
    <row r="19" spans="2:4" ht="13.9" x14ac:dyDescent="0.3">
      <c r="C19" s="95" t="s">
        <v>40</v>
      </c>
      <c r="D19" s="96" t="s">
        <v>48</v>
      </c>
    </row>
    <row r="20" spans="2:4" ht="13.9" x14ac:dyDescent="0.3">
      <c r="C20" s="95"/>
      <c r="D20" s="98" t="s">
        <v>49</v>
      </c>
    </row>
    <row r="21" spans="2:4" ht="13.9" x14ac:dyDescent="0.3">
      <c r="C21" s="95"/>
      <c r="D21" s="98" t="s">
        <v>103</v>
      </c>
    </row>
    <row r="22" spans="2:4" ht="13.9" x14ac:dyDescent="0.3">
      <c r="C22" s="95"/>
      <c r="D22" s="98" t="s">
        <v>104</v>
      </c>
    </row>
    <row r="23" spans="2:4" ht="13.9" x14ac:dyDescent="0.3">
      <c r="C23" s="95"/>
      <c r="D23" s="98" t="s">
        <v>133</v>
      </c>
    </row>
    <row r="24" spans="2:4" ht="13.9" x14ac:dyDescent="0.3">
      <c r="C24" s="95"/>
      <c r="D24" s="98" t="s">
        <v>129</v>
      </c>
    </row>
    <row r="25" spans="2:4" ht="13.9" x14ac:dyDescent="0.3">
      <c r="C25" s="95" t="s">
        <v>42</v>
      </c>
      <c r="D25" s="98" t="s">
        <v>107</v>
      </c>
    </row>
    <row r="26" spans="2:4" ht="13.9" x14ac:dyDescent="0.3">
      <c r="C26" s="95" t="s">
        <v>43</v>
      </c>
      <c r="D26" s="98" t="s">
        <v>130</v>
      </c>
    </row>
    <row r="27" spans="2:4" ht="28.15" x14ac:dyDescent="0.3">
      <c r="C27" s="95" t="s">
        <v>45</v>
      </c>
      <c r="D27" s="98" t="s">
        <v>251</v>
      </c>
    </row>
    <row r="28" spans="2:4" ht="13.9" x14ac:dyDescent="0.3">
      <c r="C28" s="95"/>
      <c r="D28" s="98"/>
    </row>
    <row r="29" spans="2:4" ht="13.9" x14ac:dyDescent="0.3">
      <c r="C29" s="94" t="s">
        <v>132</v>
      </c>
      <c r="D29" s="98"/>
    </row>
    <row r="30" spans="2:4" ht="13.9" x14ac:dyDescent="0.25">
      <c r="C30" s="95" t="s">
        <v>40</v>
      </c>
      <c r="D30" s="98" t="s">
        <v>134</v>
      </c>
    </row>
    <row r="31" spans="2:4" ht="27.6" x14ac:dyDescent="0.25">
      <c r="C31" s="95" t="s">
        <v>42</v>
      </c>
      <c r="D31" s="98" t="s">
        <v>135</v>
      </c>
    </row>
    <row r="32" spans="2:4" ht="27.6" x14ac:dyDescent="0.25">
      <c r="C32" s="95" t="s">
        <v>43</v>
      </c>
      <c r="D32" s="98" t="s">
        <v>178</v>
      </c>
    </row>
    <row r="33" spans="2:4" ht="27.6" x14ac:dyDescent="0.25">
      <c r="C33" s="95" t="s">
        <v>45</v>
      </c>
      <c r="D33" s="98" t="s">
        <v>44</v>
      </c>
    </row>
    <row r="34" spans="2:4" ht="28.5" x14ac:dyDescent="0.2">
      <c r="C34" s="95" t="s">
        <v>46</v>
      </c>
      <c r="D34" s="98" t="s">
        <v>136</v>
      </c>
    </row>
    <row r="35" spans="2:4" x14ac:dyDescent="0.2">
      <c r="C35" s="95" t="s">
        <v>47</v>
      </c>
      <c r="D35" s="98" t="s">
        <v>51</v>
      </c>
    </row>
    <row r="36" spans="2:4" x14ac:dyDescent="0.2">
      <c r="C36" s="95"/>
      <c r="D36" s="98"/>
    </row>
    <row r="37" spans="2:4" x14ac:dyDescent="0.2">
      <c r="C37" s="93"/>
      <c r="D37" s="98"/>
    </row>
    <row r="38" spans="2:4" x14ac:dyDescent="0.2">
      <c r="C38" s="94" t="s">
        <v>143</v>
      </c>
      <c r="D38" s="98"/>
    </row>
    <row r="39" spans="2:4" x14ac:dyDescent="0.2">
      <c r="C39" s="95" t="s">
        <v>40</v>
      </c>
      <c r="D39" s="98" t="s">
        <v>52</v>
      </c>
    </row>
    <row r="40" spans="2:4" x14ac:dyDescent="0.2">
      <c r="C40" s="95" t="s">
        <v>42</v>
      </c>
      <c r="D40" s="98" t="s">
        <v>137</v>
      </c>
    </row>
    <row r="41" spans="2:4" x14ac:dyDescent="0.2">
      <c r="C41" s="95" t="s">
        <v>43</v>
      </c>
      <c r="D41" s="98" t="s">
        <v>53</v>
      </c>
    </row>
    <row r="42" spans="2:4" x14ac:dyDescent="0.2">
      <c r="C42" s="95" t="s">
        <v>45</v>
      </c>
      <c r="D42" s="98" t="s">
        <v>138</v>
      </c>
    </row>
    <row r="43" spans="2:4" x14ac:dyDescent="0.2">
      <c r="C43" s="93"/>
      <c r="D43" s="96"/>
    </row>
    <row r="44" spans="2:4" x14ac:dyDescent="0.2">
      <c r="C44" s="93"/>
      <c r="D44" s="96"/>
    </row>
    <row r="45" spans="2:4" x14ac:dyDescent="0.2">
      <c r="B45" s="66" t="s">
        <v>148</v>
      </c>
      <c r="C45" s="93"/>
      <c r="D45" s="98"/>
    </row>
    <row r="46" spans="2:4" x14ac:dyDescent="0.2">
      <c r="C46" s="94" t="s">
        <v>50</v>
      </c>
      <c r="D46" s="98"/>
    </row>
    <row r="47" spans="2:4" x14ac:dyDescent="0.2">
      <c r="C47" s="95" t="s">
        <v>40</v>
      </c>
      <c r="D47" s="98" t="s">
        <v>48</v>
      </c>
    </row>
    <row r="48" spans="2:4" x14ac:dyDescent="0.2">
      <c r="C48" s="95"/>
      <c r="D48" s="98" t="s">
        <v>168</v>
      </c>
    </row>
    <row r="49" spans="3:4" x14ac:dyDescent="0.2">
      <c r="C49" s="95"/>
      <c r="D49" s="98" t="s">
        <v>139</v>
      </c>
    </row>
    <row r="50" spans="3:4" x14ac:dyDescent="0.2">
      <c r="C50" s="95"/>
      <c r="D50" s="98" t="s">
        <v>145</v>
      </c>
    </row>
    <row r="51" spans="3:4" x14ac:dyDescent="0.2">
      <c r="C51" s="95"/>
      <c r="D51" s="98" t="s">
        <v>159</v>
      </c>
    </row>
    <row r="52" spans="3:4" x14ac:dyDescent="0.2">
      <c r="C52" s="95"/>
      <c r="D52" s="98" t="s">
        <v>179</v>
      </c>
    </row>
    <row r="53" spans="3:4" x14ac:dyDescent="0.2">
      <c r="C53" s="95" t="s">
        <v>42</v>
      </c>
      <c r="D53" s="98" t="s">
        <v>105</v>
      </c>
    </row>
    <row r="54" spans="3:4" ht="28.5" x14ac:dyDescent="0.2">
      <c r="C54" s="95" t="s">
        <v>43</v>
      </c>
      <c r="D54" s="98" t="s">
        <v>251</v>
      </c>
    </row>
    <row r="55" spans="3:4" x14ac:dyDescent="0.2">
      <c r="C55" s="95"/>
      <c r="D55" s="98"/>
    </row>
    <row r="56" spans="3:4" x14ac:dyDescent="0.2">
      <c r="C56" s="94" t="s">
        <v>132</v>
      </c>
      <c r="D56" s="98"/>
    </row>
    <row r="57" spans="3:4" x14ac:dyDescent="0.2">
      <c r="C57" s="95" t="s">
        <v>40</v>
      </c>
      <c r="D57" s="98" t="s">
        <v>134</v>
      </c>
    </row>
    <row r="58" spans="3:4" x14ac:dyDescent="0.2">
      <c r="C58" s="95" t="s">
        <v>42</v>
      </c>
      <c r="D58" s="98" t="s">
        <v>180</v>
      </c>
    </row>
    <row r="59" spans="3:4" ht="28.5" x14ac:dyDescent="0.2">
      <c r="C59" s="95" t="s">
        <v>43</v>
      </c>
      <c r="D59" s="98" t="s">
        <v>178</v>
      </c>
    </row>
    <row r="60" spans="3:4" ht="28.5" x14ac:dyDescent="0.2">
      <c r="C60" s="95" t="s">
        <v>45</v>
      </c>
      <c r="D60" s="98" t="s">
        <v>106</v>
      </c>
    </row>
    <row r="61" spans="3:4" x14ac:dyDescent="0.2">
      <c r="C61" s="95" t="s">
        <v>46</v>
      </c>
      <c r="D61" s="98" t="s">
        <v>140</v>
      </c>
    </row>
    <row r="62" spans="3:4" x14ac:dyDescent="0.2">
      <c r="C62" s="95" t="s">
        <v>47</v>
      </c>
      <c r="D62" s="98" t="s">
        <v>51</v>
      </c>
    </row>
    <row r="63" spans="3:4" x14ac:dyDescent="0.2">
      <c r="C63" s="93"/>
      <c r="D63" s="98"/>
    </row>
    <row r="64" spans="3:4" x14ac:dyDescent="0.2">
      <c r="C64" s="94" t="s">
        <v>143</v>
      </c>
      <c r="D64" s="98"/>
    </row>
    <row r="65" spans="2:4" x14ac:dyDescent="0.2">
      <c r="C65" s="95" t="s">
        <v>40</v>
      </c>
      <c r="D65" s="98" t="s">
        <v>52</v>
      </c>
    </row>
    <row r="66" spans="2:4" x14ac:dyDescent="0.2">
      <c r="C66" s="95" t="s">
        <v>42</v>
      </c>
      <c r="D66" s="98" t="s">
        <v>141</v>
      </c>
    </row>
    <row r="67" spans="2:4" x14ac:dyDescent="0.2">
      <c r="C67" s="95" t="s">
        <v>43</v>
      </c>
      <c r="D67" s="98" t="s">
        <v>53</v>
      </c>
    </row>
    <row r="68" spans="2:4" x14ac:dyDescent="0.2">
      <c r="C68" s="95" t="s">
        <v>45</v>
      </c>
      <c r="D68" s="98" t="s">
        <v>142</v>
      </c>
    </row>
    <row r="69" spans="2:4" x14ac:dyDescent="0.2">
      <c r="C69" s="95" t="s">
        <v>46</v>
      </c>
      <c r="D69" s="98" t="s">
        <v>181</v>
      </c>
    </row>
    <row r="70" spans="2:4" ht="28.5" x14ac:dyDescent="0.2">
      <c r="C70" s="95" t="s">
        <v>47</v>
      </c>
      <c r="D70" s="98" t="s">
        <v>182</v>
      </c>
    </row>
    <row r="71" spans="2:4" x14ac:dyDescent="0.2">
      <c r="C71" s="93"/>
      <c r="D71" s="96"/>
    </row>
    <row r="72" spans="2:4" x14ac:dyDescent="0.2">
      <c r="C72" s="93"/>
      <c r="D72" s="96"/>
    </row>
    <row r="73" spans="2:4" x14ac:dyDescent="0.2">
      <c r="B73" s="66" t="s">
        <v>149</v>
      </c>
      <c r="C73" s="93"/>
      <c r="D73" s="98"/>
    </row>
    <row r="74" spans="2:4" x14ac:dyDescent="0.2">
      <c r="C74" s="94" t="s">
        <v>50</v>
      </c>
      <c r="D74" s="98"/>
    </row>
    <row r="75" spans="2:4" x14ac:dyDescent="0.2">
      <c r="C75" s="95" t="s">
        <v>40</v>
      </c>
      <c r="D75" s="98" t="s">
        <v>48</v>
      </c>
    </row>
    <row r="76" spans="2:4" x14ac:dyDescent="0.2">
      <c r="C76" s="95"/>
      <c r="D76" s="98" t="s">
        <v>169</v>
      </c>
    </row>
    <row r="77" spans="2:4" x14ac:dyDescent="0.2">
      <c r="C77" s="95"/>
      <c r="D77" s="98" t="s">
        <v>144</v>
      </c>
    </row>
    <row r="78" spans="2:4" x14ac:dyDescent="0.2">
      <c r="C78" s="95"/>
      <c r="D78" s="98" t="s">
        <v>145</v>
      </c>
    </row>
    <row r="79" spans="2:4" x14ac:dyDescent="0.2">
      <c r="C79" s="95"/>
      <c r="D79" s="98" t="s">
        <v>170</v>
      </c>
    </row>
    <row r="80" spans="2:4" x14ac:dyDescent="0.2">
      <c r="C80" s="95"/>
      <c r="D80" s="98" t="s">
        <v>252</v>
      </c>
    </row>
    <row r="81" spans="3:4" x14ac:dyDescent="0.2">
      <c r="C81" s="95" t="s">
        <v>42</v>
      </c>
      <c r="D81" s="98" t="s">
        <v>105</v>
      </c>
    </row>
    <row r="82" spans="3:4" ht="28.5" x14ac:dyDescent="0.2">
      <c r="C82" s="95" t="s">
        <v>43</v>
      </c>
      <c r="D82" s="98" t="s">
        <v>131</v>
      </c>
    </row>
    <row r="83" spans="3:4" x14ac:dyDescent="0.2">
      <c r="C83" s="93"/>
      <c r="D83" s="98"/>
    </row>
    <row r="84" spans="3:4" x14ac:dyDescent="0.2">
      <c r="C84" s="94" t="s">
        <v>132</v>
      </c>
      <c r="D84" s="98"/>
    </row>
    <row r="85" spans="3:4" x14ac:dyDescent="0.2">
      <c r="C85" s="95" t="s">
        <v>40</v>
      </c>
      <c r="D85" s="98" t="s">
        <v>160</v>
      </c>
    </row>
    <row r="86" spans="3:4" x14ac:dyDescent="0.2">
      <c r="C86" s="95" t="s">
        <v>42</v>
      </c>
      <c r="D86" s="98" t="s">
        <v>183</v>
      </c>
    </row>
    <row r="87" spans="3:4" ht="28.5" x14ac:dyDescent="0.2">
      <c r="C87" s="95" t="s">
        <v>43</v>
      </c>
      <c r="D87" s="98" t="s">
        <v>184</v>
      </c>
    </row>
    <row r="88" spans="3:4" ht="28.5" x14ac:dyDescent="0.2">
      <c r="C88" s="95" t="s">
        <v>45</v>
      </c>
      <c r="D88" s="98" t="s">
        <v>106</v>
      </c>
    </row>
    <row r="89" spans="3:4" x14ac:dyDescent="0.2">
      <c r="C89" s="95" t="s">
        <v>46</v>
      </c>
      <c r="D89" s="98" t="s">
        <v>140</v>
      </c>
    </row>
    <row r="90" spans="3:4" x14ac:dyDescent="0.2">
      <c r="C90" s="95" t="s">
        <v>47</v>
      </c>
      <c r="D90" s="98" t="s">
        <v>51</v>
      </c>
    </row>
    <row r="91" spans="3:4" x14ac:dyDescent="0.2">
      <c r="C91" s="93"/>
      <c r="D91" s="98"/>
    </row>
    <row r="92" spans="3:4" x14ac:dyDescent="0.2">
      <c r="C92" s="94" t="s">
        <v>143</v>
      </c>
      <c r="D92" s="98"/>
    </row>
    <row r="93" spans="3:4" x14ac:dyDescent="0.2">
      <c r="C93" s="95" t="s">
        <v>40</v>
      </c>
      <c r="D93" s="98" t="s">
        <v>161</v>
      </c>
    </row>
    <row r="94" spans="3:4" x14ac:dyDescent="0.2">
      <c r="C94" s="95" t="s">
        <v>42</v>
      </c>
      <c r="D94" s="98" t="s">
        <v>141</v>
      </c>
    </row>
    <row r="95" spans="3:4" x14ac:dyDescent="0.2">
      <c r="C95" s="95" t="s">
        <v>43</v>
      </c>
      <c r="D95" s="98" t="s">
        <v>53</v>
      </c>
    </row>
    <row r="96" spans="3:4" x14ac:dyDescent="0.2">
      <c r="C96" s="95" t="s">
        <v>45</v>
      </c>
      <c r="D96" s="98" t="s">
        <v>171</v>
      </c>
    </row>
    <row r="97" spans="3:4" x14ac:dyDescent="0.2">
      <c r="C97" s="95" t="s">
        <v>46</v>
      </c>
      <c r="D97" s="98" t="s">
        <v>181</v>
      </c>
    </row>
    <row r="98" spans="3:4" ht="28.5" x14ac:dyDescent="0.2">
      <c r="C98" s="95" t="s">
        <v>47</v>
      </c>
      <c r="D98" s="98" t="s">
        <v>162</v>
      </c>
    </row>
  </sheetData>
  <sheetProtection algorithmName="SHA-512" hashValue="95I2KPSHvzaIMxEXrJL2QYtppr7dll/ZAO//gHx107xEvLMLvRkjiI2QB0m2w7vKTtzngqYduZ6QNMTc7Peq1g==" saltValue="WckeLJ26EVTWLebkuu7Upw==" spinCount="100000" sheet="1" objects="1" scenarios="1"/>
  <pageMargins left="0.7" right="0.7" top="0.75" bottom="0.75" header="0.3" footer="0.3"/>
  <pageSetup paperSize="9" scale="65" orientation="portrait" r:id="rId1"/>
  <rowBreaks count="1" manualBreakCount="1">
    <brk id="7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D83"/>
  <sheetViews>
    <sheetView showGridLines="0" workbookViewId="0">
      <selection activeCell="D1" sqref="D1"/>
    </sheetView>
  </sheetViews>
  <sheetFormatPr defaultColWidth="8.7109375" defaultRowHeight="14.25" x14ac:dyDescent="0.2"/>
  <cols>
    <col min="1" max="3" width="8.7109375" style="62"/>
    <col min="4" max="4" width="101.42578125" style="62" customWidth="1"/>
    <col min="5" max="16384" width="8.7109375" style="62"/>
  </cols>
  <sheetData>
    <row r="7" spans="2:4" ht="20.65" x14ac:dyDescent="0.45">
      <c r="B7" s="65" t="s">
        <v>185</v>
      </c>
    </row>
    <row r="9" spans="2:4" ht="13.9" x14ac:dyDescent="0.3">
      <c r="D9" s="64"/>
    </row>
    <row r="10" spans="2:4" ht="13.9" x14ac:dyDescent="0.3">
      <c r="B10" s="66" t="s">
        <v>147</v>
      </c>
      <c r="D10" s="64"/>
    </row>
    <row r="11" spans="2:4" ht="13.9" x14ac:dyDescent="0.3">
      <c r="C11" s="67"/>
      <c r="D11" s="64"/>
    </row>
    <row r="12" spans="2:4" ht="13.9" x14ac:dyDescent="0.3">
      <c r="C12" s="68"/>
      <c r="D12" s="64"/>
    </row>
    <row r="13" spans="2:4" ht="13.9" x14ac:dyDescent="0.3">
      <c r="C13" s="68"/>
      <c r="D13" s="69"/>
    </row>
    <row r="14" spans="2:4" ht="13.9" x14ac:dyDescent="0.3">
      <c r="C14" s="68"/>
      <c r="D14" s="69"/>
    </row>
    <row r="15" spans="2:4" ht="13.9" x14ac:dyDescent="0.3">
      <c r="C15" s="68"/>
      <c r="D15" s="69"/>
    </row>
    <row r="16" spans="2:4" ht="13.9" x14ac:dyDescent="0.3">
      <c r="C16" s="68"/>
      <c r="D16" s="69"/>
    </row>
    <row r="17" spans="2:4" ht="13.9" x14ac:dyDescent="0.3">
      <c r="C17" s="68"/>
      <c r="D17" s="69"/>
    </row>
    <row r="18" spans="2:4" ht="13.9" x14ac:dyDescent="0.3">
      <c r="C18" s="68"/>
      <c r="D18" s="69"/>
    </row>
    <row r="19" spans="2:4" ht="13.9" x14ac:dyDescent="0.3">
      <c r="C19" s="68"/>
      <c r="D19" s="69"/>
    </row>
    <row r="20" spans="2:4" ht="13.9" x14ac:dyDescent="0.3">
      <c r="C20" s="68"/>
      <c r="D20" s="69"/>
    </row>
    <row r="21" spans="2:4" ht="13.9" x14ac:dyDescent="0.3">
      <c r="C21" s="68"/>
      <c r="D21" s="69"/>
    </row>
    <row r="22" spans="2:4" ht="13.9" x14ac:dyDescent="0.3">
      <c r="C22" s="67"/>
      <c r="D22" s="69"/>
    </row>
    <row r="23" spans="2:4" ht="13.9" x14ac:dyDescent="0.3">
      <c r="C23" s="68"/>
      <c r="D23" s="69"/>
    </row>
    <row r="24" spans="2:4" ht="13.9" x14ac:dyDescent="0.3">
      <c r="C24" s="68"/>
      <c r="D24" s="69"/>
    </row>
    <row r="25" spans="2:4" ht="13.9" x14ac:dyDescent="0.3">
      <c r="C25" s="68"/>
      <c r="D25" s="69"/>
    </row>
    <row r="26" spans="2:4" ht="13.9" x14ac:dyDescent="0.3">
      <c r="C26" s="68"/>
      <c r="D26" s="69"/>
    </row>
    <row r="27" spans="2:4" ht="13.9" x14ac:dyDescent="0.3">
      <c r="C27" s="68"/>
      <c r="D27" s="69"/>
    </row>
    <row r="28" spans="2:4" ht="13.9" x14ac:dyDescent="0.3">
      <c r="C28" s="68"/>
      <c r="D28" s="69"/>
    </row>
    <row r="29" spans="2:4" ht="13.9" x14ac:dyDescent="0.3">
      <c r="C29" s="68"/>
      <c r="D29" s="69"/>
    </row>
    <row r="30" spans="2:4" ht="13.9" x14ac:dyDescent="0.3">
      <c r="D30" s="69"/>
    </row>
    <row r="31" spans="2:4" ht="13.9" x14ac:dyDescent="0.3">
      <c r="D31" s="64"/>
    </row>
    <row r="32" spans="2:4" ht="13.9" x14ac:dyDescent="0.3">
      <c r="B32" s="66" t="s">
        <v>148</v>
      </c>
      <c r="D32" s="69"/>
    </row>
    <row r="33" spans="3:4" ht="13.9" x14ac:dyDescent="0.25">
      <c r="C33" s="67"/>
      <c r="D33" s="69"/>
    </row>
    <row r="34" spans="3:4" ht="13.9" x14ac:dyDescent="0.25">
      <c r="C34" s="68"/>
      <c r="D34" s="69"/>
    </row>
    <row r="35" spans="3:4" ht="13.9" x14ac:dyDescent="0.25">
      <c r="C35" s="68"/>
      <c r="D35" s="69"/>
    </row>
    <row r="36" spans="3:4" ht="13.9" x14ac:dyDescent="0.25">
      <c r="C36" s="68"/>
      <c r="D36" s="69"/>
    </row>
    <row r="37" spans="3:4" ht="13.9" x14ac:dyDescent="0.25">
      <c r="C37" s="68"/>
      <c r="D37" s="69"/>
    </row>
    <row r="38" spans="3:4" ht="13.9" x14ac:dyDescent="0.25">
      <c r="C38" s="68"/>
      <c r="D38" s="69"/>
    </row>
    <row r="39" spans="3:4" x14ac:dyDescent="0.2">
      <c r="C39" s="68"/>
      <c r="D39" s="69"/>
    </row>
    <row r="40" spans="3:4" x14ac:dyDescent="0.2">
      <c r="C40" s="68"/>
      <c r="D40" s="69"/>
    </row>
    <row r="41" spans="3:4" x14ac:dyDescent="0.2">
      <c r="C41" s="68"/>
      <c r="D41" s="69"/>
    </row>
    <row r="42" spans="3:4" x14ac:dyDescent="0.2">
      <c r="C42" s="68"/>
      <c r="D42" s="69"/>
    </row>
    <row r="43" spans="3:4" x14ac:dyDescent="0.2">
      <c r="C43" s="67"/>
      <c r="D43" s="69"/>
    </row>
    <row r="44" spans="3:4" x14ac:dyDescent="0.2">
      <c r="C44" s="68"/>
      <c r="D44" s="69"/>
    </row>
    <row r="45" spans="3:4" x14ac:dyDescent="0.2">
      <c r="C45" s="68"/>
      <c r="D45" s="69"/>
    </row>
    <row r="46" spans="3:4" x14ac:dyDescent="0.2">
      <c r="C46" s="68"/>
      <c r="D46" s="69"/>
    </row>
    <row r="47" spans="3:4" x14ac:dyDescent="0.2">
      <c r="C47" s="68"/>
      <c r="D47" s="69"/>
    </row>
    <row r="48" spans="3:4" x14ac:dyDescent="0.2">
      <c r="C48" s="68"/>
      <c r="D48" s="69"/>
    </row>
    <row r="49" spans="2:4" x14ac:dyDescent="0.2">
      <c r="C49" s="68"/>
      <c r="D49" s="69"/>
    </row>
    <row r="50" spans="2:4" x14ac:dyDescent="0.2">
      <c r="D50" s="69"/>
    </row>
    <row r="51" spans="2:4" x14ac:dyDescent="0.2">
      <c r="C51" s="67"/>
      <c r="D51" s="69"/>
    </row>
    <row r="52" spans="2:4" x14ac:dyDescent="0.2">
      <c r="C52" s="68"/>
      <c r="D52" s="69"/>
    </row>
    <row r="53" spans="2:4" x14ac:dyDescent="0.2">
      <c r="C53" s="68"/>
      <c r="D53" s="69"/>
    </row>
    <row r="54" spans="2:4" x14ac:dyDescent="0.2">
      <c r="C54" s="68"/>
      <c r="D54" s="69"/>
    </row>
    <row r="55" spans="2:4" x14ac:dyDescent="0.2">
      <c r="C55" s="68"/>
      <c r="D55" s="69"/>
    </row>
    <row r="56" spans="2:4" x14ac:dyDescent="0.2">
      <c r="D56" s="64"/>
    </row>
    <row r="57" spans="2:4" x14ac:dyDescent="0.2">
      <c r="D57" s="64"/>
    </row>
    <row r="58" spans="2:4" x14ac:dyDescent="0.2">
      <c r="B58" s="66" t="s">
        <v>149</v>
      </c>
      <c r="D58" s="69"/>
    </row>
    <row r="59" spans="2:4" x14ac:dyDescent="0.2">
      <c r="C59" s="67"/>
      <c r="D59" s="69"/>
    </row>
    <row r="60" spans="2:4" x14ac:dyDescent="0.2">
      <c r="C60" s="68"/>
      <c r="D60" s="69"/>
    </row>
    <row r="61" spans="2:4" x14ac:dyDescent="0.2">
      <c r="C61" s="68"/>
      <c r="D61" s="69"/>
    </row>
    <row r="62" spans="2:4" x14ac:dyDescent="0.2">
      <c r="C62" s="68"/>
      <c r="D62" s="69"/>
    </row>
    <row r="63" spans="2:4" x14ac:dyDescent="0.2">
      <c r="C63" s="68"/>
      <c r="D63" s="69"/>
    </row>
    <row r="64" spans="2:4" x14ac:dyDescent="0.2">
      <c r="C64" s="68"/>
      <c r="D64" s="69"/>
    </row>
    <row r="65" spans="3:4" x14ac:dyDescent="0.2">
      <c r="C65" s="68"/>
      <c r="D65" s="69"/>
    </row>
    <row r="66" spans="3:4" x14ac:dyDescent="0.2">
      <c r="C66" s="68"/>
      <c r="D66" s="69"/>
    </row>
    <row r="67" spans="3:4" x14ac:dyDescent="0.2">
      <c r="C67" s="68"/>
      <c r="D67" s="69"/>
    </row>
    <row r="68" spans="3:4" x14ac:dyDescent="0.2">
      <c r="D68" s="69"/>
    </row>
    <row r="69" spans="3:4" x14ac:dyDescent="0.2">
      <c r="C69" s="67"/>
      <c r="D69" s="69"/>
    </row>
    <row r="70" spans="3:4" x14ac:dyDescent="0.2">
      <c r="C70" s="68"/>
      <c r="D70" s="69"/>
    </row>
    <row r="71" spans="3:4" x14ac:dyDescent="0.2">
      <c r="C71" s="68"/>
      <c r="D71" s="69"/>
    </row>
    <row r="72" spans="3:4" x14ac:dyDescent="0.2">
      <c r="C72" s="68"/>
      <c r="D72" s="69"/>
    </row>
    <row r="73" spans="3:4" x14ac:dyDescent="0.2">
      <c r="C73" s="68"/>
      <c r="D73" s="69"/>
    </row>
    <row r="74" spans="3:4" x14ac:dyDescent="0.2">
      <c r="C74" s="68"/>
      <c r="D74" s="69"/>
    </row>
    <row r="75" spans="3:4" x14ac:dyDescent="0.2">
      <c r="C75" s="68"/>
      <c r="D75" s="69"/>
    </row>
    <row r="76" spans="3:4" x14ac:dyDescent="0.2">
      <c r="D76" s="69"/>
    </row>
    <row r="77" spans="3:4" x14ac:dyDescent="0.2">
      <c r="C77" s="67"/>
      <c r="D77" s="69"/>
    </row>
    <row r="78" spans="3:4" x14ac:dyDescent="0.2">
      <c r="C78" s="68"/>
      <c r="D78" s="69"/>
    </row>
    <row r="79" spans="3:4" x14ac:dyDescent="0.2">
      <c r="C79" s="68"/>
      <c r="D79" s="69"/>
    </row>
    <row r="80" spans="3:4" x14ac:dyDescent="0.2">
      <c r="C80" s="68"/>
      <c r="D80" s="69"/>
    </row>
    <row r="81" spans="3:4" x14ac:dyDescent="0.2">
      <c r="C81" s="68"/>
      <c r="D81" s="69"/>
    </row>
    <row r="82" spans="3:4" x14ac:dyDescent="0.2">
      <c r="C82" s="68"/>
      <c r="D82" s="69"/>
    </row>
    <row r="83" spans="3:4" x14ac:dyDescent="0.2">
      <c r="C83" s="68"/>
      <c r="D83" s="69"/>
    </row>
  </sheetData>
  <sheetProtection algorithmName="SHA-512" hashValue="DygB+yvkIyak5PwPrlA96yt2C027tquRQcvisBvQnVK6K2x9Uz79SbiCbvsh7K3wIetsDCd/w4lKXbZ+cB9wcw==" saltValue="YPHk3P4WcOVakOlW1ZUZUw=="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6"/>
  <sheetViews>
    <sheetView showGridLines="0" topLeftCell="C1" zoomScale="80" zoomScaleNormal="80" zoomScaleSheetLayoutView="100" workbookViewId="0">
      <pane xSplit="3" ySplit="11" topLeftCell="F14" activePane="bottomRight" state="frozen"/>
      <selection pane="topRight"/>
      <selection pane="bottomLeft"/>
      <selection pane="bottomRight" activeCell="I7" sqref="I7"/>
    </sheetView>
  </sheetViews>
  <sheetFormatPr defaultRowHeight="15" x14ac:dyDescent="0.25"/>
  <cols>
    <col min="3" max="3" width="9.28515625" customWidth="1"/>
    <col min="4" max="4" width="32.28515625" customWidth="1"/>
    <col min="5" max="5" width="39.7109375" customWidth="1"/>
    <col min="6" max="6" width="19.7109375" customWidth="1"/>
    <col min="7" max="7" width="16.7109375" customWidth="1"/>
    <col min="8" max="8" width="25.28515625" customWidth="1"/>
    <col min="9" max="9" width="19.5703125" customWidth="1"/>
    <col min="10" max="14" width="33.28515625" customWidth="1"/>
    <col min="15" max="15" width="51.7109375" customWidth="1"/>
    <col min="18" max="18" width="12.7109375" customWidth="1"/>
  </cols>
  <sheetData>
    <row r="1" spans="2:18" ht="14.65" x14ac:dyDescent="0.35">
      <c r="R1" s="80" t="s">
        <v>227</v>
      </c>
    </row>
    <row r="2" spans="2:18" ht="14.65" x14ac:dyDescent="0.35">
      <c r="R2" s="106">
        <v>1.0309999999999999</v>
      </c>
    </row>
    <row r="5" spans="2:18" ht="14.65" x14ac:dyDescent="0.35">
      <c r="D5" s="2"/>
      <c r="E5" s="2"/>
      <c r="F5" s="2"/>
      <c r="G5" s="2"/>
      <c r="H5" s="2"/>
      <c r="I5" s="2"/>
      <c r="J5" s="2"/>
      <c r="K5" s="2"/>
      <c r="L5" s="2"/>
      <c r="M5" s="2"/>
      <c r="N5" s="2"/>
      <c r="O5" s="2"/>
    </row>
    <row r="6" spans="2:18" ht="14.65" x14ac:dyDescent="0.35">
      <c r="D6" s="2"/>
      <c r="E6" s="2"/>
      <c r="F6" s="2"/>
      <c r="G6" s="2"/>
      <c r="H6" s="2"/>
      <c r="I6" s="2"/>
      <c r="J6" s="2"/>
      <c r="K6" s="2"/>
      <c r="L6" s="2"/>
      <c r="M6" s="2"/>
      <c r="N6" s="2"/>
      <c r="O6" s="2"/>
    </row>
    <row r="7" spans="2:18" ht="14.65" x14ac:dyDescent="0.35">
      <c r="D7" s="2"/>
      <c r="E7" s="2"/>
      <c r="F7" s="2"/>
      <c r="G7" s="2"/>
      <c r="H7" s="2"/>
      <c r="I7" s="2"/>
      <c r="J7" s="2"/>
      <c r="K7" s="2"/>
      <c r="L7" s="2"/>
      <c r="M7" s="2"/>
      <c r="N7" s="2"/>
      <c r="O7" s="2"/>
    </row>
    <row r="8" spans="2:18" ht="20.65" x14ac:dyDescent="0.45">
      <c r="D8" s="65" t="s">
        <v>174</v>
      </c>
      <c r="E8" s="2"/>
      <c r="F8" s="2"/>
      <c r="G8" s="2"/>
      <c r="H8" s="2"/>
      <c r="I8" s="2"/>
      <c r="J8" s="2"/>
      <c r="K8" s="2"/>
      <c r="L8" s="2"/>
      <c r="M8" s="2"/>
      <c r="N8" s="2"/>
      <c r="O8" s="2"/>
    </row>
    <row r="9" spans="2:18" ht="14.65" x14ac:dyDescent="0.35">
      <c r="D9" s="2"/>
      <c r="E9" s="2"/>
      <c r="F9" s="2"/>
      <c r="G9" s="2"/>
      <c r="H9" s="2"/>
      <c r="I9" s="2"/>
      <c r="J9" s="2"/>
      <c r="K9" s="2"/>
      <c r="L9" s="2"/>
      <c r="M9" s="2"/>
      <c r="N9" s="2"/>
      <c r="O9" s="2"/>
    </row>
    <row r="10" spans="2:18" s="3" customFormat="1" ht="15.75" x14ac:dyDescent="0.25">
      <c r="D10" s="219" t="s">
        <v>0</v>
      </c>
      <c r="E10" s="219" t="s">
        <v>1</v>
      </c>
      <c r="F10" s="219" t="s">
        <v>2</v>
      </c>
      <c r="G10" s="220" t="s">
        <v>17</v>
      </c>
      <c r="H10" s="220"/>
      <c r="I10" s="220"/>
      <c r="J10" s="220" t="s">
        <v>18</v>
      </c>
      <c r="K10" s="220"/>
      <c r="L10" s="220"/>
      <c r="M10" s="220"/>
      <c r="N10" s="220"/>
      <c r="O10" s="219" t="s">
        <v>10</v>
      </c>
    </row>
    <row r="11" spans="2:18" ht="15.75" x14ac:dyDescent="0.25">
      <c r="D11" s="219"/>
      <c r="E11" s="219"/>
      <c r="F11" s="219"/>
      <c r="G11" s="5" t="s">
        <v>3</v>
      </c>
      <c r="H11" s="5" t="s">
        <v>4</v>
      </c>
      <c r="I11" s="6" t="s">
        <v>5</v>
      </c>
      <c r="J11" s="5" t="s">
        <v>6</v>
      </c>
      <c r="K11" s="5" t="s">
        <v>7</v>
      </c>
      <c r="L11" s="5" t="s">
        <v>8</v>
      </c>
      <c r="M11" s="5" t="s">
        <v>39</v>
      </c>
      <c r="N11" s="5" t="s">
        <v>9</v>
      </c>
      <c r="O11" s="219"/>
    </row>
    <row r="12" spans="2:18" ht="58.15" x14ac:dyDescent="0.35">
      <c r="B12" s="9" t="s">
        <v>37</v>
      </c>
      <c r="C12" s="9"/>
      <c r="D12" s="8" t="s">
        <v>11</v>
      </c>
      <c r="E12" s="8" t="s">
        <v>275</v>
      </c>
      <c r="F12" s="8" t="s">
        <v>96</v>
      </c>
      <c r="G12" s="29">
        <v>450</v>
      </c>
      <c r="H12" s="8" t="s">
        <v>36</v>
      </c>
      <c r="I12" s="8" t="s">
        <v>186</v>
      </c>
      <c r="J12" s="8" t="s">
        <v>187</v>
      </c>
      <c r="K12" s="8" t="s">
        <v>188</v>
      </c>
      <c r="L12" s="8" t="s">
        <v>38</v>
      </c>
      <c r="M12" s="8" t="s">
        <v>189</v>
      </c>
      <c r="N12" s="8" t="s">
        <v>190</v>
      </c>
      <c r="O12" s="8" t="s">
        <v>395</v>
      </c>
    </row>
    <row r="13" spans="2:18" ht="28.9" x14ac:dyDescent="0.35">
      <c r="B13" s="9"/>
      <c r="C13" s="9"/>
      <c r="D13" s="8" t="s">
        <v>11</v>
      </c>
      <c r="E13" s="8" t="s">
        <v>276</v>
      </c>
      <c r="F13" s="8" t="s">
        <v>96</v>
      </c>
      <c r="G13" s="214">
        <v>320</v>
      </c>
      <c r="H13" s="8" t="s">
        <v>36</v>
      </c>
      <c r="I13" s="8" t="s">
        <v>277</v>
      </c>
      <c r="J13" s="8" t="s">
        <v>277</v>
      </c>
      <c r="K13" s="8" t="s">
        <v>277</v>
      </c>
      <c r="L13" s="8" t="s">
        <v>277</v>
      </c>
      <c r="M13" s="8" t="s">
        <v>277</v>
      </c>
      <c r="N13" s="8" t="s">
        <v>277</v>
      </c>
      <c r="O13" s="8" t="s">
        <v>396</v>
      </c>
    </row>
    <row r="14" spans="2:18" ht="115.9" x14ac:dyDescent="0.35">
      <c r="B14" s="9"/>
      <c r="C14" s="9"/>
      <c r="D14" s="8" t="s">
        <v>11</v>
      </c>
      <c r="E14" s="8" t="s">
        <v>256</v>
      </c>
      <c r="F14" s="8" t="s">
        <v>257</v>
      </c>
      <c r="G14" s="101" t="s">
        <v>261</v>
      </c>
      <c r="H14" s="8" t="s">
        <v>263</v>
      </c>
      <c r="I14" s="8" t="s">
        <v>264</v>
      </c>
      <c r="J14" s="8" t="s">
        <v>267</v>
      </c>
      <c r="K14" s="8" t="s">
        <v>269</v>
      </c>
      <c r="L14" s="8" t="s">
        <v>266</v>
      </c>
      <c r="M14" s="8" t="s">
        <v>266</v>
      </c>
      <c r="N14" s="8" t="s">
        <v>265</v>
      </c>
      <c r="O14" s="8" t="s">
        <v>271</v>
      </c>
    </row>
    <row r="15" spans="2:18" ht="145.15" x14ac:dyDescent="0.35">
      <c r="B15" s="9"/>
      <c r="C15" s="9"/>
      <c r="D15" s="8" t="s">
        <v>11</v>
      </c>
      <c r="E15" s="8" t="s">
        <v>258</v>
      </c>
      <c r="F15" s="8" t="s">
        <v>402</v>
      </c>
      <c r="G15" s="214">
        <v>15.45</v>
      </c>
      <c r="H15" s="8" t="s">
        <v>263</v>
      </c>
      <c r="I15" s="8" t="s">
        <v>264</v>
      </c>
      <c r="J15" s="8" t="s">
        <v>403</v>
      </c>
      <c r="K15" s="8" t="s">
        <v>270</v>
      </c>
      <c r="L15" s="8" t="s">
        <v>266</v>
      </c>
      <c r="M15" s="8" t="s">
        <v>266</v>
      </c>
      <c r="N15" s="218" t="s">
        <v>405</v>
      </c>
      <c r="O15" s="8" t="s">
        <v>404</v>
      </c>
    </row>
    <row r="16" spans="2:18" ht="145.15" x14ac:dyDescent="0.35">
      <c r="B16" s="9"/>
      <c r="C16" s="9"/>
      <c r="D16" s="8" t="s">
        <v>11</v>
      </c>
      <c r="E16" s="8" t="s">
        <v>376</v>
      </c>
      <c r="F16" s="8" t="s">
        <v>377</v>
      </c>
      <c r="G16" s="214">
        <v>2.5</v>
      </c>
      <c r="H16" s="8" t="s">
        <v>263</v>
      </c>
      <c r="I16" s="8" t="s">
        <v>264</v>
      </c>
      <c r="J16" s="8" t="s">
        <v>380</v>
      </c>
      <c r="K16" s="8" t="s">
        <v>379</v>
      </c>
      <c r="L16" s="8" t="s">
        <v>266</v>
      </c>
      <c r="M16" s="8" t="s">
        <v>266</v>
      </c>
      <c r="N16" s="8" t="s">
        <v>265</v>
      </c>
      <c r="O16" s="8" t="s">
        <v>378</v>
      </c>
    </row>
    <row r="17" spans="2:15" ht="115.9" x14ac:dyDescent="0.35">
      <c r="B17" s="9"/>
      <c r="C17" s="9"/>
      <c r="D17" s="8" t="s">
        <v>11</v>
      </c>
      <c r="E17" s="8" t="s">
        <v>259</v>
      </c>
      <c r="F17" s="8" t="s">
        <v>257</v>
      </c>
      <c r="G17" s="101" t="s">
        <v>262</v>
      </c>
      <c r="H17" s="8" t="s">
        <v>263</v>
      </c>
      <c r="I17" s="8" t="s">
        <v>264</v>
      </c>
      <c r="J17" s="8" t="s">
        <v>268</v>
      </c>
      <c r="K17" s="8" t="s">
        <v>266</v>
      </c>
      <c r="L17" s="8" t="s">
        <v>266</v>
      </c>
      <c r="M17" s="8" t="s">
        <v>266</v>
      </c>
      <c r="N17" s="8" t="s">
        <v>265</v>
      </c>
      <c r="O17" s="8" t="s">
        <v>271</v>
      </c>
    </row>
    <row r="18" spans="2:15" ht="115.9" x14ac:dyDescent="0.35">
      <c r="B18" s="9"/>
      <c r="C18" s="9"/>
      <c r="D18" s="8" t="s">
        <v>11</v>
      </c>
      <c r="E18" s="8" t="s">
        <v>260</v>
      </c>
      <c r="F18" s="8" t="s">
        <v>257</v>
      </c>
      <c r="G18" s="101" t="s">
        <v>262</v>
      </c>
      <c r="H18" s="8" t="s">
        <v>263</v>
      </c>
      <c r="I18" s="8" t="s">
        <v>264</v>
      </c>
      <c r="J18" s="8" t="s">
        <v>268</v>
      </c>
      <c r="K18" s="8" t="s">
        <v>266</v>
      </c>
      <c r="L18" s="8" t="s">
        <v>266</v>
      </c>
      <c r="M18" s="8" t="s">
        <v>266</v>
      </c>
      <c r="N18" s="8" t="s">
        <v>265</v>
      </c>
      <c r="O18" s="8" t="s">
        <v>272</v>
      </c>
    </row>
    <row r="19" spans="2:15" ht="28.9" x14ac:dyDescent="0.3">
      <c r="B19" s="9"/>
      <c r="C19" s="9"/>
      <c r="D19" s="8" t="s">
        <v>13</v>
      </c>
      <c r="E19" s="8" t="s">
        <v>126</v>
      </c>
      <c r="F19" s="8" t="s">
        <v>96</v>
      </c>
      <c r="G19" s="29">
        <v>1000</v>
      </c>
      <c r="H19" s="8"/>
      <c r="I19" s="8" t="s">
        <v>186</v>
      </c>
      <c r="J19" s="8" t="s">
        <v>191</v>
      </c>
      <c r="K19" s="8" t="s">
        <v>191</v>
      </c>
      <c r="L19" s="8" t="s">
        <v>191</v>
      </c>
      <c r="M19" s="8" t="s">
        <v>191</v>
      </c>
      <c r="N19" s="8"/>
      <c r="O19" s="8" t="s">
        <v>146</v>
      </c>
    </row>
    <row r="20" spans="2:15" ht="165" x14ac:dyDescent="0.25">
      <c r="B20" s="9"/>
      <c r="C20" s="9"/>
      <c r="D20" s="8" t="s">
        <v>13</v>
      </c>
      <c r="E20" s="8" t="s">
        <v>192</v>
      </c>
      <c r="F20" s="8" t="s">
        <v>113</v>
      </c>
      <c r="G20" s="23">
        <f>(62)*$R$2</f>
        <v>63.921999999999997</v>
      </c>
      <c r="H20" s="8" t="s">
        <v>108</v>
      </c>
      <c r="I20" s="70" t="s">
        <v>278</v>
      </c>
      <c r="J20" s="8" t="s">
        <v>187</v>
      </c>
      <c r="K20" s="8" t="s">
        <v>194</v>
      </c>
      <c r="L20" s="8" t="s">
        <v>195</v>
      </c>
      <c r="M20" s="27" t="s">
        <v>196</v>
      </c>
      <c r="N20" s="8"/>
      <c r="O20" s="8" t="s">
        <v>279</v>
      </c>
    </row>
    <row r="21" spans="2:15" ht="180" x14ac:dyDescent="0.25">
      <c r="B21" s="9"/>
      <c r="C21" s="9"/>
      <c r="D21" s="8" t="s">
        <v>12</v>
      </c>
      <c r="E21" s="8" t="s">
        <v>55</v>
      </c>
      <c r="F21" s="8" t="s">
        <v>113</v>
      </c>
      <c r="G21" s="23">
        <f>(62)*$R$2</f>
        <v>63.921999999999997</v>
      </c>
      <c r="H21" s="8" t="s">
        <v>108</v>
      </c>
      <c r="I21" s="70" t="s">
        <v>278</v>
      </c>
      <c r="J21" s="8" t="s">
        <v>187</v>
      </c>
      <c r="K21" s="8" t="s">
        <v>197</v>
      </c>
      <c r="L21" s="8" t="s">
        <v>198</v>
      </c>
      <c r="M21" s="27" t="s">
        <v>196</v>
      </c>
      <c r="N21" s="8"/>
      <c r="O21" s="8" t="s">
        <v>280</v>
      </c>
    </row>
    <row r="22" spans="2:15" ht="270" x14ac:dyDescent="0.25">
      <c r="D22" s="8" t="s">
        <v>12</v>
      </c>
      <c r="E22" s="8" t="s">
        <v>56</v>
      </c>
      <c r="F22" s="8" t="s">
        <v>113</v>
      </c>
      <c r="G22" s="23">
        <f>(80)*$R$2</f>
        <v>82.47999999999999</v>
      </c>
      <c r="H22" s="8" t="s">
        <v>108</v>
      </c>
      <c r="I22" s="70" t="s">
        <v>193</v>
      </c>
      <c r="J22" s="27" t="s">
        <v>114</v>
      </c>
      <c r="K22" s="8" t="s">
        <v>197</v>
      </c>
      <c r="L22" s="8" t="s">
        <v>198</v>
      </c>
      <c r="M22" s="27" t="s">
        <v>196</v>
      </c>
      <c r="N22" s="8"/>
      <c r="O22" s="8" t="s">
        <v>273</v>
      </c>
    </row>
    <row r="23" spans="2:15" ht="300" x14ac:dyDescent="0.25">
      <c r="D23" s="8" t="s">
        <v>12</v>
      </c>
      <c r="E23" s="8" t="s">
        <v>281</v>
      </c>
      <c r="F23" s="8" t="s">
        <v>113</v>
      </c>
      <c r="G23" s="23">
        <f>(62+42)*($R$2)</f>
        <v>107.22399999999999</v>
      </c>
      <c r="H23" s="8" t="s">
        <v>108</v>
      </c>
      <c r="I23" s="70" t="s">
        <v>278</v>
      </c>
      <c r="J23" s="27" t="s">
        <v>114</v>
      </c>
      <c r="K23" s="8" t="s">
        <v>197</v>
      </c>
      <c r="L23" s="8" t="s">
        <v>198</v>
      </c>
      <c r="M23" s="27" t="s">
        <v>196</v>
      </c>
      <c r="N23" s="8"/>
      <c r="O23" s="28" t="s">
        <v>282</v>
      </c>
    </row>
    <row r="24" spans="2:15" ht="45" x14ac:dyDescent="0.25">
      <c r="D24" s="8" t="s">
        <v>12</v>
      </c>
      <c r="E24" s="8" t="s">
        <v>283</v>
      </c>
      <c r="F24" s="8" t="s">
        <v>113</v>
      </c>
      <c r="G24" s="23">
        <f>(80+42)*($R$2)</f>
        <v>125.782</v>
      </c>
      <c r="H24" s="8" t="s">
        <v>108</v>
      </c>
      <c r="I24" s="70" t="s">
        <v>278</v>
      </c>
      <c r="J24" s="8" t="s">
        <v>115</v>
      </c>
      <c r="K24" s="8" t="s">
        <v>115</v>
      </c>
      <c r="L24" s="8" t="s">
        <v>115</v>
      </c>
      <c r="M24" s="8" t="s">
        <v>115</v>
      </c>
      <c r="N24" s="8"/>
      <c r="O24" s="22" t="s">
        <v>115</v>
      </c>
    </row>
    <row r="25" spans="2:15" ht="45" x14ac:dyDescent="0.25">
      <c r="D25" s="8" t="s">
        <v>12</v>
      </c>
      <c r="E25" s="8" t="s">
        <v>284</v>
      </c>
      <c r="F25" s="8" t="s">
        <v>113</v>
      </c>
      <c r="G25" s="23">
        <f>(95+42)*($R$2)</f>
        <v>141.24699999999999</v>
      </c>
      <c r="H25" s="8" t="s">
        <v>108</v>
      </c>
      <c r="I25" s="70" t="s">
        <v>278</v>
      </c>
      <c r="J25" s="8" t="s">
        <v>115</v>
      </c>
      <c r="K25" s="8" t="s">
        <v>115</v>
      </c>
      <c r="L25" s="8" t="s">
        <v>115</v>
      </c>
      <c r="M25" s="8" t="s">
        <v>115</v>
      </c>
      <c r="N25" s="8"/>
      <c r="O25" s="22" t="s">
        <v>115</v>
      </c>
    </row>
    <row r="26" spans="2:15" ht="45" x14ac:dyDescent="0.25">
      <c r="D26" s="8" t="s">
        <v>12</v>
      </c>
      <c r="E26" s="8" t="s">
        <v>285</v>
      </c>
      <c r="F26" s="8" t="s">
        <v>113</v>
      </c>
      <c r="G26" s="23">
        <f>(140+61)*($R$2)</f>
        <v>207.23099999999999</v>
      </c>
      <c r="H26" s="8" t="s">
        <v>108</v>
      </c>
      <c r="I26" s="70" t="s">
        <v>278</v>
      </c>
      <c r="J26" s="8" t="s">
        <v>115</v>
      </c>
      <c r="K26" s="8" t="s">
        <v>115</v>
      </c>
      <c r="L26" s="8" t="s">
        <v>115</v>
      </c>
      <c r="M26" s="8" t="s">
        <v>115</v>
      </c>
      <c r="N26" s="8"/>
      <c r="O26" s="22" t="s">
        <v>115</v>
      </c>
    </row>
    <row r="27" spans="2:15" ht="45" x14ac:dyDescent="0.25">
      <c r="D27" s="8" t="s">
        <v>12</v>
      </c>
      <c r="E27" s="8" t="s">
        <v>286</v>
      </c>
      <c r="F27" s="8" t="s">
        <v>113</v>
      </c>
      <c r="G27" s="23">
        <f>(190+81)*($R$2)</f>
        <v>279.40099999999995</v>
      </c>
      <c r="H27" s="8" t="s">
        <v>108</v>
      </c>
      <c r="I27" s="70" t="s">
        <v>278</v>
      </c>
      <c r="J27" s="8" t="s">
        <v>115</v>
      </c>
      <c r="K27" s="8" t="s">
        <v>115</v>
      </c>
      <c r="L27" s="8" t="s">
        <v>115</v>
      </c>
      <c r="M27" s="8" t="s">
        <v>115</v>
      </c>
      <c r="N27" s="8"/>
      <c r="O27" s="22" t="s">
        <v>115</v>
      </c>
    </row>
    <row r="28" spans="2:15" ht="45" x14ac:dyDescent="0.25">
      <c r="D28" s="8" t="s">
        <v>12</v>
      </c>
      <c r="E28" s="8" t="s">
        <v>287</v>
      </c>
      <c r="F28" s="8" t="s">
        <v>113</v>
      </c>
      <c r="G28" s="23">
        <f>(250+102)*($R$2)</f>
        <v>362.91199999999998</v>
      </c>
      <c r="H28" s="8" t="s">
        <v>108</v>
      </c>
      <c r="I28" s="70" t="s">
        <v>278</v>
      </c>
      <c r="J28" s="8" t="s">
        <v>115</v>
      </c>
      <c r="K28" s="8" t="s">
        <v>115</v>
      </c>
      <c r="L28" s="8" t="s">
        <v>115</v>
      </c>
      <c r="M28" s="8" t="s">
        <v>115</v>
      </c>
      <c r="N28" s="8"/>
      <c r="O28" s="22" t="s">
        <v>115</v>
      </c>
    </row>
    <row r="29" spans="2:15" ht="45" x14ac:dyDescent="0.25">
      <c r="D29" s="8" t="s">
        <v>12</v>
      </c>
      <c r="E29" s="8" t="s">
        <v>288</v>
      </c>
      <c r="F29" s="8" t="s">
        <v>113</v>
      </c>
      <c r="G29" s="23">
        <f>(320+122)*($R$2)</f>
        <v>455.70199999999994</v>
      </c>
      <c r="H29" s="8" t="s">
        <v>108</v>
      </c>
      <c r="I29" s="70" t="s">
        <v>278</v>
      </c>
      <c r="J29" s="8" t="s">
        <v>115</v>
      </c>
      <c r="K29" s="8" t="s">
        <v>115</v>
      </c>
      <c r="L29" s="8" t="s">
        <v>115</v>
      </c>
      <c r="M29" s="8" t="s">
        <v>115</v>
      </c>
      <c r="N29" s="8"/>
      <c r="O29" s="22" t="s">
        <v>115</v>
      </c>
    </row>
    <row r="30" spans="2:15" ht="45" x14ac:dyDescent="0.25">
      <c r="D30" s="8" t="s">
        <v>12</v>
      </c>
      <c r="E30" s="8" t="s">
        <v>289</v>
      </c>
      <c r="F30" s="8" t="s">
        <v>113</v>
      </c>
      <c r="G30" s="23">
        <f>(420+162)*($R$2)</f>
        <v>600.04199999999992</v>
      </c>
      <c r="H30" s="8" t="s">
        <v>108</v>
      </c>
      <c r="I30" s="70" t="s">
        <v>278</v>
      </c>
      <c r="J30" s="8" t="s">
        <v>115</v>
      </c>
      <c r="K30" s="8" t="s">
        <v>115</v>
      </c>
      <c r="L30" s="8" t="s">
        <v>115</v>
      </c>
      <c r="M30" s="8" t="s">
        <v>115</v>
      </c>
      <c r="N30" s="8"/>
      <c r="O30" s="22" t="s">
        <v>115</v>
      </c>
    </row>
    <row r="31" spans="2:15" ht="240" x14ac:dyDescent="0.25">
      <c r="D31" s="8" t="s">
        <v>12</v>
      </c>
      <c r="E31" s="8" t="s">
        <v>290</v>
      </c>
      <c r="F31" s="8" t="s">
        <v>113</v>
      </c>
      <c r="G31" s="23">
        <f>(62-12)*($R$2)</f>
        <v>51.55</v>
      </c>
      <c r="H31" s="8" t="s">
        <v>108</v>
      </c>
      <c r="I31" s="70" t="s">
        <v>278</v>
      </c>
      <c r="J31" s="27" t="s">
        <v>114</v>
      </c>
      <c r="K31" s="8" t="s">
        <v>197</v>
      </c>
      <c r="L31" s="8" t="s">
        <v>198</v>
      </c>
      <c r="M31" s="27" t="s">
        <v>196</v>
      </c>
      <c r="N31" s="8"/>
      <c r="O31" s="28" t="s">
        <v>291</v>
      </c>
    </row>
    <row r="32" spans="2:15" ht="45" x14ac:dyDescent="0.25">
      <c r="D32" s="8" t="s">
        <v>12</v>
      </c>
      <c r="E32" s="8" t="s">
        <v>292</v>
      </c>
      <c r="F32" s="8" t="s">
        <v>113</v>
      </c>
      <c r="G32" s="23">
        <f>(80-12)*($R$2)</f>
        <v>70.10799999999999</v>
      </c>
      <c r="H32" s="8" t="s">
        <v>108</v>
      </c>
      <c r="I32" s="70" t="s">
        <v>278</v>
      </c>
      <c r="J32" s="8" t="s">
        <v>115</v>
      </c>
      <c r="K32" s="8" t="s">
        <v>115</v>
      </c>
      <c r="L32" s="8" t="s">
        <v>115</v>
      </c>
      <c r="M32" s="8" t="s">
        <v>115</v>
      </c>
      <c r="N32" s="8"/>
      <c r="O32" s="22" t="s">
        <v>115</v>
      </c>
    </row>
    <row r="33" spans="1:15" ht="45" x14ac:dyDescent="0.25">
      <c r="D33" s="8" t="s">
        <v>12</v>
      </c>
      <c r="E33" s="8" t="s">
        <v>293</v>
      </c>
      <c r="F33" s="8" t="s">
        <v>113</v>
      </c>
      <c r="G33" s="23">
        <f>(95-12)*($R$2)</f>
        <v>85.572999999999993</v>
      </c>
      <c r="H33" s="8" t="s">
        <v>108</v>
      </c>
      <c r="I33" s="70" t="s">
        <v>278</v>
      </c>
      <c r="J33" s="8" t="s">
        <v>115</v>
      </c>
      <c r="K33" s="8" t="s">
        <v>115</v>
      </c>
      <c r="L33" s="8" t="s">
        <v>115</v>
      </c>
      <c r="M33" s="8" t="s">
        <v>115</v>
      </c>
      <c r="N33" s="8"/>
      <c r="O33" s="22" t="s">
        <v>115</v>
      </c>
    </row>
    <row r="34" spans="1:15" ht="45" x14ac:dyDescent="0.25">
      <c r="D34" s="8" t="s">
        <v>12</v>
      </c>
      <c r="E34" s="8" t="s">
        <v>294</v>
      </c>
      <c r="F34" s="8" t="s">
        <v>113</v>
      </c>
      <c r="G34" s="23">
        <f>(140-12)*($R$2)</f>
        <v>131.96799999999999</v>
      </c>
      <c r="H34" s="8" t="s">
        <v>108</v>
      </c>
      <c r="I34" s="70" t="s">
        <v>278</v>
      </c>
      <c r="J34" s="8" t="s">
        <v>115</v>
      </c>
      <c r="K34" s="8" t="s">
        <v>115</v>
      </c>
      <c r="L34" s="8" t="s">
        <v>115</v>
      </c>
      <c r="M34" s="8" t="s">
        <v>115</v>
      </c>
      <c r="N34" s="8"/>
      <c r="O34" s="22" t="s">
        <v>115</v>
      </c>
    </row>
    <row r="35" spans="1:15" ht="45" x14ac:dyDescent="0.25">
      <c r="D35" s="8" t="s">
        <v>12</v>
      </c>
      <c r="E35" s="8" t="s">
        <v>295</v>
      </c>
      <c r="F35" s="8" t="s">
        <v>113</v>
      </c>
      <c r="G35" s="23">
        <f>(190-12)*($R$2)</f>
        <v>183.51799999999997</v>
      </c>
      <c r="H35" s="8" t="s">
        <v>108</v>
      </c>
      <c r="I35" s="70" t="s">
        <v>278</v>
      </c>
      <c r="J35" s="8" t="s">
        <v>115</v>
      </c>
      <c r="K35" s="8" t="s">
        <v>115</v>
      </c>
      <c r="L35" s="8" t="s">
        <v>115</v>
      </c>
      <c r="M35" s="8" t="s">
        <v>115</v>
      </c>
      <c r="N35" s="8"/>
      <c r="O35" s="22" t="s">
        <v>115</v>
      </c>
    </row>
    <row r="36" spans="1:15" ht="45" x14ac:dyDescent="0.25">
      <c r="D36" s="8" t="s">
        <v>12</v>
      </c>
      <c r="E36" s="8" t="s">
        <v>296</v>
      </c>
      <c r="F36" s="8" t="s">
        <v>113</v>
      </c>
      <c r="G36" s="23">
        <f>(250-12)*($R$2)</f>
        <v>245.37799999999999</v>
      </c>
      <c r="H36" s="8" t="s">
        <v>108</v>
      </c>
      <c r="I36" s="70" t="s">
        <v>278</v>
      </c>
      <c r="J36" s="8" t="s">
        <v>115</v>
      </c>
      <c r="K36" s="8" t="s">
        <v>115</v>
      </c>
      <c r="L36" s="8" t="s">
        <v>115</v>
      </c>
      <c r="M36" s="8" t="s">
        <v>115</v>
      </c>
      <c r="N36" s="8"/>
      <c r="O36" s="22" t="s">
        <v>115</v>
      </c>
    </row>
    <row r="37" spans="1:15" ht="45" x14ac:dyDescent="0.25">
      <c r="D37" s="8" t="s">
        <v>12</v>
      </c>
      <c r="E37" s="8" t="s">
        <v>297</v>
      </c>
      <c r="F37" s="8" t="s">
        <v>113</v>
      </c>
      <c r="G37" s="23">
        <f>(320-12)*($R$2)</f>
        <v>317.548</v>
      </c>
      <c r="H37" s="8" t="s">
        <v>108</v>
      </c>
      <c r="I37" s="70" t="s">
        <v>278</v>
      </c>
      <c r="J37" s="8" t="s">
        <v>115</v>
      </c>
      <c r="K37" s="8" t="s">
        <v>115</v>
      </c>
      <c r="L37" s="8" t="s">
        <v>115</v>
      </c>
      <c r="M37" s="8" t="s">
        <v>115</v>
      </c>
      <c r="N37" s="8"/>
      <c r="O37" s="22" t="s">
        <v>115</v>
      </c>
    </row>
    <row r="38" spans="1:15" ht="45" x14ac:dyDescent="0.25">
      <c r="D38" s="8" t="s">
        <v>12</v>
      </c>
      <c r="E38" s="8" t="s">
        <v>298</v>
      </c>
      <c r="F38" s="8" t="s">
        <v>113</v>
      </c>
      <c r="G38" s="23">
        <f>(420-12)*($R$2)</f>
        <v>420.64799999999997</v>
      </c>
      <c r="H38" s="8" t="s">
        <v>108</v>
      </c>
      <c r="I38" s="70" t="s">
        <v>278</v>
      </c>
      <c r="J38" s="8" t="s">
        <v>115</v>
      </c>
      <c r="K38" s="8" t="s">
        <v>115</v>
      </c>
      <c r="L38" s="8" t="s">
        <v>115</v>
      </c>
      <c r="M38" s="8" t="s">
        <v>115</v>
      </c>
      <c r="N38" s="8"/>
      <c r="O38" s="22" t="s">
        <v>115</v>
      </c>
    </row>
    <row r="39" spans="1:15" ht="300" x14ac:dyDescent="0.25">
      <c r="A39" t="s">
        <v>54</v>
      </c>
      <c r="B39">
        <v>1.0309999999999999</v>
      </c>
      <c r="D39" s="8" t="s">
        <v>12</v>
      </c>
      <c r="E39" s="8" t="s">
        <v>57</v>
      </c>
      <c r="F39" s="8" t="s">
        <v>113</v>
      </c>
      <c r="G39" s="23">
        <f>(160+42)*$R$2</f>
        <v>208.26199999999997</v>
      </c>
      <c r="H39" s="8" t="s">
        <v>108</v>
      </c>
      <c r="I39" s="70" t="s">
        <v>278</v>
      </c>
      <c r="J39" s="27" t="s">
        <v>114</v>
      </c>
      <c r="K39" s="8" t="s">
        <v>197</v>
      </c>
      <c r="L39" s="8" t="s">
        <v>198</v>
      </c>
      <c r="M39" s="27" t="s">
        <v>196</v>
      </c>
      <c r="N39" s="8"/>
      <c r="O39" s="28" t="s">
        <v>299</v>
      </c>
    </row>
    <row r="40" spans="1:15" ht="45" x14ac:dyDescent="0.25">
      <c r="D40" s="8" t="s">
        <v>12</v>
      </c>
      <c r="E40" s="8" t="s">
        <v>58</v>
      </c>
      <c r="F40" s="8" t="s">
        <v>113</v>
      </c>
      <c r="G40" s="23">
        <f>(200+61)*$R$2</f>
        <v>269.09099999999995</v>
      </c>
      <c r="H40" s="8" t="s">
        <v>108</v>
      </c>
      <c r="I40" s="70" t="s">
        <v>278</v>
      </c>
      <c r="J40" s="8" t="s">
        <v>115</v>
      </c>
      <c r="K40" s="8" t="s">
        <v>115</v>
      </c>
      <c r="L40" s="8" t="s">
        <v>115</v>
      </c>
      <c r="M40" s="8" t="s">
        <v>115</v>
      </c>
      <c r="N40" s="8"/>
      <c r="O40" s="22" t="s">
        <v>115</v>
      </c>
    </row>
    <row r="41" spans="1:15" ht="45" x14ac:dyDescent="0.25">
      <c r="D41" s="8" t="s">
        <v>12</v>
      </c>
      <c r="E41" s="8" t="s">
        <v>59</v>
      </c>
      <c r="F41" s="8" t="s">
        <v>113</v>
      </c>
      <c r="G41" s="23">
        <f>(250+81)*$R$2</f>
        <v>341.26099999999997</v>
      </c>
      <c r="H41" s="8" t="s">
        <v>108</v>
      </c>
      <c r="I41" s="70" t="s">
        <v>278</v>
      </c>
      <c r="J41" s="8" t="s">
        <v>115</v>
      </c>
      <c r="K41" s="8" t="s">
        <v>115</v>
      </c>
      <c r="L41" s="8" t="s">
        <v>115</v>
      </c>
      <c r="M41" s="8" t="s">
        <v>115</v>
      </c>
      <c r="N41" s="8"/>
      <c r="O41" s="22" t="s">
        <v>115</v>
      </c>
    </row>
    <row r="42" spans="1:15" ht="45" x14ac:dyDescent="0.25">
      <c r="D42" s="8" t="s">
        <v>12</v>
      </c>
      <c r="E42" s="8" t="s">
        <v>60</v>
      </c>
      <c r="F42" s="8" t="s">
        <v>113</v>
      </c>
      <c r="G42" s="23">
        <f>(290+102)*$R$2</f>
        <v>404.15199999999999</v>
      </c>
      <c r="H42" s="8" t="s">
        <v>108</v>
      </c>
      <c r="I42" s="70" t="s">
        <v>278</v>
      </c>
      <c r="J42" s="8" t="s">
        <v>115</v>
      </c>
      <c r="K42" s="8" t="s">
        <v>115</v>
      </c>
      <c r="L42" s="8" t="s">
        <v>115</v>
      </c>
      <c r="M42" s="8" t="s">
        <v>115</v>
      </c>
      <c r="N42" s="8"/>
      <c r="O42" s="22" t="s">
        <v>115</v>
      </c>
    </row>
    <row r="43" spans="1:15" ht="45" x14ac:dyDescent="0.25">
      <c r="D43" s="8" t="s">
        <v>12</v>
      </c>
      <c r="E43" s="8" t="s">
        <v>61</v>
      </c>
      <c r="F43" s="8" t="s">
        <v>113</v>
      </c>
      <c r="G43" s="23">
        <f>(340+122)*$R$2</f>
        <v>476.32199999999995</v>
      </c>
      <c r="H43" s="8" t="s">
        <v>108</v>
      </c>
      <c r="I43" s="70" t="s">
        <v>278</v>
      </c>
      <c r="J43" s="8" t="s">
        <v>115</v>
      </c>
      <c r="K43" s="8" t="s">
        <v>115</v>
      </c>
      <c r="L43" s="8" t="s">
        <v>115</v>
      </c>
      <c r="M43" s="8" t="s">
        <v>115</v>
      </c>
      <c r="N43" s="8"/>
      <c r="O43" s="22" t="s">
        <v>115</v>
      </c>
    </row>
    <row r="44" spans="1:15" ht="45" x14ac:dyDescent="0.25">
      <c r="D44" s="8" t="s">
        <v>12</v>
      </c>
      <c r="E44" s="8" t="s">
        <v>62</v>
      </c>
      <c r="F44" s="8" t="s">
        <v>113</v>
      </c>
      <c r="G44" s="23">
        <f>(430+162)*$R$2</f>
        <v>610.35199999999998</v>
      </c>
      <c r="H44" s="8" t="s">
        <v>108</v>
      </c>
      <c r="I44" s="70" t="s">
        <v>278</v>
      </c>
      <c r="J44" s="8" t="s">
        <v>115</v>
      </c>
      <c r="K44" s="8" t="s">
        <v>115</v>
      </c>
      <c r="L44" s="8" t="s">
        <v>115</v>
      </c>
      <c r="M44" s="8" t="s">
        <v>115</v>
      </c>
      <c r="N44" s="8"/>
      <c r="O44" s="22" t="s">
        <v>115</v>
      </c>
    </row>
    <row r="45" spans="1:15" ht="240" x14ac:dyDescent="0.25">
      <c r="D45" s="8" t="s">
        <v>12</v>
      </c>
      <c r="E45" s="8" t="s">
        <v>63</v>
      </c>
      <c r="F45" s="8" t="s">
        <v>113</v>
      </c>
      <c r="G45" s="23">
        <f>(160-12)*$R$2</f>
        <v>152.58799999999999</v>
      </c>
      <c r="H45" s="8" t="s">
        <v>108</v>
      </c>
      <c r="I45" s="70" t="s">
        <v>278</v>
      </c>
      <c r="J45" s="27" t="s">
        <v>114</v>
      </c>
      <c r="K45" s="8" t="s">
        <v>197</v>
      </c>
      <c r="L45" s="8" t="s">
        <v>198</v>
      </c>
      <c r="M45" s="27" t="s">
        <v>196</v>
      </c>
      <c r="N45" s="8"/>
      <c r="O45" s="28" t="s">
        <v>291</v>
      </c>
    </row>
    <row r="46" spans="1:15" ht="45" x14ac:dyDescent="0.25">
      <c r="D46" s="8" t="s">
        <v>12</v>
      </c>
      <c r="E46" s="8" t="s">
        <v>64</v>
      </c>
      <c r="F46" s="8" t="s">
        <v>113</v>
      </c>
      <c r="G46" s="23">
        <f>(200-12)*$R$2</f>
        <v>193.82799999999997</v>
      </c>
      <c r="H46" s="8" t="s">
        <v>108</v>
      </c>
      <c r="I46" s="70" t="s">
        <v>278</v>
      </c>
      <c r="J46" s="8" t="s">
        <v>115</v>
      </c>
      <c r="K46" s="8" t="s">
        <v>115</v>
      </c>
      <c r="L46" s="8" t="s">
        <v>115</v>
      </c>
      <c r="M46" s="8" t="s">
        <v>115</v>
      </c>
      <c r="N46" s="8"/>
      <c r="O46" s="22" t="s">
        <v>115</v>
      </c>
    </row>
    <row r="47" spans="1:15" ht="45" x14ac:dyDescent="0.25">
      <c r="D47" s="8" t="s">
        <v>12</v>
      </c>
      <c r="E47" s="8" t="s">
        <v>65</v>
      </c>
      <c r="F47" s="8" t="s">
        <v>113</v>
      </c>
      <c r="G47" s="23">
        <f>(250-12)*$R$2</f>
        <v>245.37799999999999</v>
      </c>
      <c r="H47" s="8" t="s">
        <v>108</v>
      </c>
      <c r="I47" s="70" t="s">
        <v>278</v>
      </c>
      <c r="J47" s="8" t="s">
        <v>115</v>
      </c>
      <c r="K47" s="8" t="s">
        <v>115</v>
      </c>
      <c r="L47" s="8" t="s">
        <v>115</v>
      </c>
      <c r="M47" s="8" t="s">
        <v>115</v>
      </c>
      <c r="N47" s="8"/>
      <c r="O47" s="22" t="s">
        <v>115</v>
      </c>
    </row>
    <row r="48" spans="1:15" ht="45" x14ac:dyDescent="0.25">
      <c r="D48" s="8" t="s">
        <v>12</v>
      </c>
      <c r="E48" s="8" t="s">
        <v>66</v>
      </c>
      <c r="F48" s="8" t="s">
        <v>113</v>
      </c>
      <c r="G48" s="23">
        <f>(290-12)*$R$2</f>
        <v>286.61799999999999</v>
      </c>
      <c r="H48" s="8" t="s">
        <v>108</v>
      </c>
      <c r="I48" s="70" t="s">
        <v>278</v>
      </c>
      <c r="J48" s="8" t="s">
        <v>115</v>
      </c>
      <c r="K48" s="8" t="s">
        <v>115</v>
      </c>
      <c r="L48" s="8" t="s">
        <v>115</v>
      </c>
      <c r="M48" s="8" t="s">
        <v>115</v>
      </c>
      <c r="N48" s="8"/>
      <c r="O48" s="22" t="s">
        <v>115</v>
      </c>
    </row>
    <row r="49" spans="4:15" ht="45" x14ac:dyDescent="0.25">
      <c r="D49" s="8" t="s">
        <v>12</v>
      </c>
      <c r="E49" s="8" t="s">
        <v>67</v>
      </c>
      <c r="F49" s="8" t="s">
        <v>113</v>
      </c>
      <c r="G49" s="23">
        <f>(340-12)*$R$2</f>
        <v>338.16799999999995</v>
      </c>
      <c r="H49" s="8" t="s">
        <v>108</v>
      </c>
      <c r="I49" s="70" t="s">
        <v>278</v>
      </c>
      <c r="J49" s="8" t="s">
        <v>115</v>
      </c>
      <c r="K49" s="8" t="s">
        <v>115</v>
      </c>
      <c r="L49" s="8" t="s">
        <v>115</v>
      </c>
      <c r="M49" s="8" t="s">
        <v>115</v>
      </c>
      <c r="N49" s="8"/>
      <c r="O49" s="22" t="s">
        <v>115</v>
      </c>
    </row>
    <row r="50" spans="4:15" ht="45" x14ac:dyDescent="0.25">
      <c r="D50" s="8" t="s">
        <v>12</v>
      </c>
      <c r="E50" s="8" t="s">
        <v>68</v>
      </c>
      <c r="F50" s="8" t="s">
        <v>113</v>
      </c>
      <c r="G50" s="23">
        <f>(430-12)*$R$2</f>
        <v>430.95799999999997</v>
      </c>
      <c r="H50" s="8" t="s">
        <v>108</v>
      </c>
      <c r="I50" s="70" t="s">
        <v>278</v>
      </c>
      <c r="J50" s="8" t="s">
        <v>115</v>
      </c>
      <c r="K50" s="8" t="s">
        <v>115</v>
      </c>
      <c r="L50" s="8" t="s">
        <v>115</v>
      </c>
      <c r="M50" s="8" t="s">
        <v>115</v>
      </c>
      <c r="N50" s="8"/>
      <c r="O50" s="22" t="s">
        <v>115</v>
      </c>
    </row>
    <row r="51" spans="4:15" ht="45" x14ac:dyDescent="0.25">
      <c r="D51" s="8" t="s">
        <v>12</v>
      </c>
      <c r="E51" s="8" t="s">
        <v>150</v>
      </c>
      <c r="F51" s="8" t="s">
        <v>113</v>
      </c>
      <c r="G51" s="23">
        <f>(510-12)*$R$2</f>
        <v>513.43799999999999</v>
      </c>
      <c r="H51" s="8" t="s">
        <v>108</v>
      </c>
      <c r="I51" s="70" t="s">
        <v>278</v>
      </c>
      <c r="J51" s="8" t="s">
        <v>115</v>
      </c>
      <c r="K51" s="8" t="s">
        <v>115</v>
      </c>
      <c r="L51" s="8" t="s">
        <v>115</v>
      </c>
      <c r="M51" s="8" t="s">
        <v>115</v>
      </c>
      <c r="N51" s="8"/>
      <c r="O51" s="22" t="s">
        <v>115</v>
      </c>
    </row>
    <row r="52" spans="4:15" ht="300" x14ac:dyDescent="0.25">
      <c r="D52" s="8" t="s">
        <v>14</v>
      </c>
      <c r="E52" s="8" t="s">
        <v>69</v>
      </c>
      <c r="F52" s="8" t="s">
        <v>113</v>
      </c>
      <c r="G52" s="29">
        <f>(216+42)*$R$2</f>
        <v>265.99799999999999</v>
      </c>
      <c r="H52" s="8" t="s">
        <v>109</v>
      </c>
      <c r="I52" s="70" t="s">
        <v>300</v>
      </c>
      <c r="J52" s="27" t="s">
        <v>114</v>
      </c>
      <c r="K52" s="8" t="s">
        <v>197</v>
      </c>
      <c r="L52" s="27" t="s">
        <v>199</v>
      </c>
      <c r="M52" s="27" t="s">
        <v>196</v>
      </c>
      <c r="N52" s="8"/>
      <c r="O52" s="28" t="s">
        <v>301</v>
      </c>
    </row>
    <row r="53" spans="4:15" ht="45" x14ac:dyDescent="0.25">
      <c r="D53" s="8" t="s">
        <v>14</v>
      </c>
      <c r="E53" s="8" t="s">
        <v>70</v>
      </c>
      <c r="F53" s="8" t="s">
        <v>113</v>
      </c>
      <c r="G53" s="23">
        <f>(253+61)*$R$2</f>
        <v>323.73399999999998</v>
      </c>
      <c r="H53" s="8" t="s">
        <v>109</v>
      </c>
      <c r="I53" s="70" t="s">
        <v>300</v>
      </c>
      <c r="J53" s="8" t="s">
        <v>115</v>
      </c>
      <c r="K53" s="8" t="s">
        <v>115</v>
      </c>
      <c r="L53" s="8" t="s">
        <v>115</v>
      </c>
      <c r="M53" s="8" t="s">
        <v>115</v>
      </c>
      <c r="N53" s="8"/>
      <c r="O53" s="28" t="s">
        <v>115</v>
      </c>
    </row>
    <row r="54" spans="4:15" ht="45" x14ac:dyDescent="0.25">
      <c r="D54" s="8" t="s">
        <v>14</v>
      </c>
      <c r="E54" s="8" t="s">
        <v>71</v>
      </c>
      <c r="F54" s="8" t="s">
        <v>113</v>
      </c>
      <c r="G54" s="23">
        <f>(315+102)*$R$2</f>
        <v>429.92699999999996</v>
      </c>
      <c r="H54" s="8" t="s">
        <v>109</v>
      </c>
      <c r="I54" s="70" t="s">
        <v>300</v>
      </c>
      <c r="J54" s="8" t="s">
        <v>115</v>
      </c>
      <c r="K54" s="8" t="s">
        <v>115</v>
      </c>
      <c r="L54" s="8" t="s">
        <v>115</v>
      </c>
      <c r="M54" s="8" t="s">
        <v>115</v>
      </c>
      <c r="N54" s="8"/>
      <c r="O54" s="28" t="s">
        <v>115</v>
      </c>
    </row>
    <row r="55" spans="4:15" ht="45" x14ac:dyDescent="0.25">
      <c r="D55" s="8" t="s">
        <v>14</v>
      </c>
      <c r="E55" s="8" t="s">
        <v>72</v>
      </c>
      <c r="F55" s="8" t="s">
        <v>113</v>
      </c>
      <c r="G55" s="23">
        <f>(427+122)*$R$2</f>
        <v>566.01900000000001</v>
      </c>
      <c r="H55" s="8" t="s">
        <v>109</v>
      </c>
      <c r="I55" s="70" t="s">
        <v>300</v>
      </c>
      <c r="J55" s="8" t="s">
        <v>115</v>
      </c>
      <c r="K55" s="8" t="s">
        <v>115</v>
      </c>
      <c r="L55" s="8" t="s">
        <v>115</v>
      </c>
      <c r="M55" s="8" t="s">
        <v>115</v>
      </c>
      <c r="N55" s="8"/>
      <c r="O55" s="28" t="s">
        <v>115</v>
      </c>
    </row>
    <row r="56" spans="4:15" ht="45" x14ac:dyDescent="0.25">
      <c r="D56" s="8" t="s">
        <v>14</v>
      </c>
      <c r="E56" s="8" t="s">
        <v>73</v>
      </c>
      <c r="F56" s="8" t="s">
        <v>113</v>
      </c>
      <c r="G56" s="23">
        <f>(553+162)*$R$2</f>
        <v>737.16499999999996</v>
      </c>
      <c r="H56" s="8" t="s">
        <v>109</v>
      </c>
      <c r="I56" s="70" t="s">
        <v>300</v>
      </c>
      <c r="J56" s="8" t="s">
        <v>115</v>
      </c>
      <c r="K56" s="8" t="s">
        <v>115</v>
      </c>
      <c r="L56" s="8" t="s">
        <v>115</v>
      </c>
      <c r="M56" s="8" t="s">
        <v>115</v>
      </c>
      <c r="N56" s="8"/>
      <c r="O56" s="28" t="s">
        <v>115</v>
      </c>
    </row>
    <row r="57" spans="4:15" ht="45" x14ac:dyDescent="0.25">
      <c r="D57" s="8" t="s">
        <v>14</v>
      </c>
      <c r="E57" s="8" t="s">
        <v>74</v>
      </c>
      <c r="F57" s="8" t="s">
        <v>113</v>
      </c>
      <c r="G57" s="23">
        <f>(670+203)*$R$2</f>
        <v>900.06299999999987</v>
      </c>
      <c r="H57" s="8" t="s">
        <v>109</v>
      </c>
      <c r="I57" s="70" t="s">
        <v>300</v>
      </c>
      <c r="J57" s="8" t="s">
        <v>115</v>
      </c>
      <c r="K57" s="8" t="s">
        <v>115</v>
      </c>
      <c r="L57" s="8" t="s">
        <v>115</v>
      </c>
      <c r="M57" s="8" t="s">
        <v>115</v>
      </c>
      <c r="N57" s="8"/>
      <c r="O57" s="28" t="s">
        <v>115</v>
      </c>
    </row>
    <row r="58" spans="4:15" ht="45" x14ac:dyDescent="0.25">
      <c r="D58" s="8" t="s">
        <v>14</v>
      </c>
      <c r="E58" s="8" t="s">
        <v>75</v>
      </c>
      <c r="F58" s="8" t="s">
        <v>113</v>
      </c>
      <c r="G58" s="23">
        <f>(775+231)*$R$2</f>
        <v>1037.1859999999999</v>
      </c>
      <c r="H58" s="8" t="s">
        <v>109</v>
      </c>
      <c r="I58" s="70" t="s">
        <v>300</v>
      </c>
      <c r="J58" s="8" t="s">
        <v>115</v>
      </c>
      <c r="K58" s="8" t="s">
        <v>115</v>
      </c>
      <c r="L58" s="8" t="s">
        <v>115</v>
      </c>
      <c r="M58" s="8" t="s">
        <v>115</v>
      </c>
      <c r="N58" s="8"/>
      <c r="O58" s="28" t="s">
        <v>115</v>
      </c>
    </row>
    <row r="59" spans="4:15" ht="45" x14ac:dyDescent="0.25">
      <c r="D59" s="8" t="s">
        <v>14</v>
      </c>
      <c r="E59" s="8" t="s">
        <v>76</v>
      </c>
      <c r="F59" s="8" t="s">
        <v>113</v>
      </c>
      <c r="G59" s="23">
        <f>(1000+271)*$R$2</f>
        <v>1310.4009999999998</v>
      </c>
      <c r="H59" s="8" t="s">
        <v>109</v>
      </c>
      <c r="I59" s="70" t="s">
        <v>300</v>
      </c>
      <c r="J59" s="8" t="s">
        <v>115</v>
      </c>
      <c r="K59" s="8" t="s">
        <v>115</v>
      </c>
      <c r="L59" s="8" t="s">
        <v>115</v>
      </c>
      <c r="M59" s="8" t="s">
        <v>115</v>
      </c>
      <c r="N59" s="8"/>
      <c r="O59" s="28" t="s">
        <v>115</v>
      </c>
    </row>
    <row r="60" spans="4:15" ht="240" x14ac:dyDescent="0.25">
      <c r="D60" s="27" t="s">
        <v>14</v>
      </c>
      <c r="E60" s="27" t="s">
        <v>79</v>
      </c>
      <c r="F60" s="27" t="s">
        <v>113</v>
      </c>
      <c r="G60" s="29">
        <f>(216-12)*$R$2</f>
        <v>210.32399999999998</v>
      </c>
      <c r="H60" s="27" t="s">
        <v>109</v>
      </c>
      <c r="I60" s="70" t="s">
        <v>300</v>
      </c>
      <c r="J60" s="27" t="s">
        <v>114</v>
      </c>
      <c r="K60" s="8" t="s">
        <v>197</v>
      </c>
      <c r="L60" s="27" t="s">
        <v>200</v>
      </c>
      <c r="M60" s="27" t="s">
        <v>196</v>
      </c>
      <c r="N60" s="8"/>
      <c r="O60" s="28" t="s">
        <v>302</v>
      </c>
    </row>
    <row r="61" spans="4:15" ht="45" x14ac:dyDescent="0.25">
      <c r="D61" s="27" t="s">
        <v>14</v>
      </c>
      <c r="E61" s="27" t="s">
        <v>80</v>
      </c>
      <c r="F61" s="27" t="s">
        <v>113</v>
      </c>
      <c r="G61" s="29">
        <f>(253-12)*$R$2</f>
        <v>248.47099999999998</v>
      </c>
      <c r="H61" s="27" t="s">
        <v>109</v>
      </c>
      <c r="I61" s="70" t="s">
        <v>300</v>
      </c>
      <c r="J61" s="8" t="s">
        <v>115</v>
      </c>
      <c r="K61" s="8" t="s">
        <v>115</v>
      </c>
      <c r="L61" s="8" t="s">
        <v>115</v>
      </c>
      <c r="M61" s="8" t="s">
        <v>115</v>
      </c>
      <c r="N61" s="8"/>
      <c r="O61" s="22" t="s">
        <v>115</v>
      </c>
    </row>
    <row r="62" spans="4:15" ht="45" x14ac:dyDescent="0.25">
      <c r="D62" s="27" t="s">
        <v>14</v>
      </c>
      <c r="E62" s="27" t="s">
        <v>81</v>
      </c>
      <c r="F62" s="27" t="s">
        <v>113</v>
      </c>
      <c r="G62" s="29">
        <f>(315-12)*$R$2</f>
        <v>312.39299999999997</v>
      </c>
      <c r="H62" s="27" t="s">
        <v>109</v>
      </c>
      <c r="I62" s="70" t="s">
        <v>300</v>
      </c>
      <c r="J62" s="8" t="s">
        <v>115</v>
      </c>
      <c r="K62" s="8" t="s">
        <v>115</v>
      </c>
      <c r="L62" s="8" t="s">
        <v>115</v>
      </c>
      <c r="M62" s="8" t="s">
        <v>115</v>
      </c>
      <c r="N62" s="8"/>
      <c r="O62" s="22" t="s">
        <v>115</v>
      </c>
    </row>
    <row r="63" spans="4:15" ht="45" x14ac:dyDescent="0.25">
      <c r="D63" s="27" t="s">
        <v>14</v>
      </c>
      <c r="E63" s="27" t="s">
        <v>82</v>
      </c>
      <c r="F63" s="27" t="s">
        <v>113</v>
      </c>
      <c r="G63" s="29">
        <f>(427-12)*$R$2</f>
        <v>427.86499999999995</v>
      </c>
      <c r="H63" s="27" t="s">
        <v>109</v>
      </c>
      <c r="I63" s="70" t="s">
        <v>300</v>
      </c>
      <c r="J63" s="8" t="s">
        <v>115</v>
      </c>
      <c r="K63" s="8" t="s">
        <v>115</v>
      </c>
      <c r="L63" s="8" t="s">
        <v>115</v>
      </c>
      <c r="M63" s="8" t="s">
        <v>115</v>
      </c>
      <c r="N63" s="8"/>
      <c r="O63" s="22" t="s">
        <v>115</v>
      </c>
    </row>
    <row r="64" spans="4:15" ht="45" x14ac:dyDescent="0.25">
      <c r="D64" s="27" t="s">
        <v>14</v>
      </c>
      <c r="E64" s="27" t="s">
        <v>83</v>
      </c>
      <c r="F64" s="27" t="s">
        <v>113</v>
      </c>
      <c r="G64" s="29">
        <f>(553-12)*$R$2</f>
        <v>557.77099999999996</v>
      </c>
      <c r="H64" s="27" t="s">
        <v>109</v>
      </c>
      <c r="I64" s="70" t="s">
        <v>300</v>
      </c>
      <c r="J64" s="8" t="s">
        <v>115</v>
      </c>
      <c r="K64" s="8" t="s">
        <v>115</v>
      </c>
      <c r="L64" s="8" t="s">
        <v>115</v>
      </c>
      <c r="M64" s="8" t="s">
        <v>115</v>
      </c>
      <c r="N64" s="8"/>
      <c r="O64" s="22" t="s">
        <v>115</v>
      </c>
    </row>
    <row r="65" spans="4:15" ht="45" x14ac:dyDescent="0.25">
      <c r="D65" s="27" t="s">
        <v>14</v>
      </c>
      <c r="E65" s="27" t="s">
        <v>84</v>
      </c>
      <c r="F65" s="27" t="s">
        <v>113</v>
      </c>
      <c r="G65" s="29">
        <f>(670-12)*$R$2</f>
        <v>678.39799999999991</v>
      </c>
      <c r="H65" s="27" t="s">
        <v>109</v>
      </c>
      <c r="I65" s="70" t="s">
        <v>300</v>
      </c>
      <c r="J65" s="8" t="s">
        <v>115</v>
      </c>
      <c r="K65" s="8" t="s">
        <v>115</v>
      </c>
      <c r="L65" s="8" t="s">
        <v>115</v>
      </c>
      <c r="M65" s="8" t="s">
        <v>115</v>
      </c>
      <c r="N65" s="8"/>
      <c r="O65" s="22" t="s">
        <v>115</v>
      </c>
    </row>
    <row r="66" spans="4:15" ht="45" x14ac:dyDescent="0.25">
      <c r="D66" s="27" t="s">
        <v>14</v>
      </c>
      <c r="E66" s="27" t="s">
        <v>85</v>
      </c>
      <c r="F66" s="27" t="s">
        <v>113</v>
      </c>
      <c r="G66" s="29">
        <f>(775-12)*$R$2</f>
        <v>786.65299999999991</v>
      </c>
      <c r="H66" s="27" t="s">
        <v>109</v>
      </c>
      <c r="I66" s="70" t="s">
        <v>300</v>
      </c>
      <c r="J66" s="8" t="s">
        <v>115</v>
      </c>
      <c r="K66" s="8" t="s">
        <v>115</v>
      </c>
      <c r="L66" s="8" t="s">
        <v>115</v>
      </c>
      <c r="M66" s="8" t="s">
        <v>115</v>
      </c>
      <c r="N66" s="8"/>
      <c r="O66" s="22" t="s">
        <v>115</v>
      </c>
    </row>
    <row r="67" spans="4:15" ht="45" x14ac:dyDescent="0.25">
      <c r="D67" s="27" t="s">
        <v>14</v>
      </c>
      <c r="E67" s="27" t="s">
        <v>86</v>
      </c>
      <c r="F67" s="27" t="s">
        <v>113</v>
      </c>
      <c r="G67" s="29">
        <f>(1000-12)*$R$2</f>
        <v>1018.6279999999999</v>
      </c>
      <c r="H67" s="27" t="s">
        <v>109</v>
      </c>
      <c r="I67" s="70" t="s">
        <v>300</v>
      </c>
      <c r="J67" s="8" t="s">
        <v>115</v>
      </c>
      <c r="K67" s="8" t="s">
        <v>115</v>
      </c>
      <c r="L67" s="8" t="s">
        <v>115</v>
      </c>
      <c r="M67" s="8" t="s">
        <v>115</v>
      </c>
      <c r="N67" s="8"/>
      <c r="O67" s="22" t="s">
        <v>115</v>
      </c>
    </row>
    <row r="68" spans="4:15" ht="240" x14ac:dyDescent="0.25">
      <c r="D68" s="8" t="s">
        <v>15</v>
      </c>
      <c r="E68" s="8" t="s">
        <v>87</v>
      </c>
      <c r="F68" s="8" t="s">
        <v>113</v>
      </c>
      <c r="G68" s="23">
        <f>(115-12)*$R$2</f>
        <v>106.193</v>
      </c>
      <c r="H68" s="8" t="s">
        <v>108</v>
      </c>
      <c r="I68" s="70" t="s">
        <v>303</v>
      </c>
      <c r="J68" s="27" t="s">
        <v>114</v>
      </c>
      <c r="K68" s="8" t="s">
        <v>197</v>
      </c>
      <c r="L68" s="8" t="s">
        <v>198</v>
      </c>
      <c r="M68" s="27" t="s">
        <v>196</v>
      </c>
      <c r="N68" s="8"/>
      <c r="O68" s="28" t="s">
        <v>304</v>
      </c>
    </row>
    <row r="69" spans="4:15" ht="45" x14ac:dyDescent="0.25">
      <c r="D69" s="8" t="s">
        <v>15</v>
      </c>
      <c r="E69" s="8" t="s">
        <v>88</v>
      </c>
      <c r="F69" s="8" t="s">
        <v>113</v>
      </c>
      <c r="G69" s="23">
        <f>(160-12)*$R$2</f>
        <v>152.58799999999999</v>
      </c>
      <c r="H69" s="8" t="s">
        <v>108</v>
      </c>
      <c r="I69" s="70" t="s">
        <v>303</v>
      </c>
      <c r="J69" s="8" t="s">
        <v>115</v>
      </c>
      <c r="K69" s="8" t="s">
        <v>115</v>
      </c>
      <c r="L69" s="8" t="s">
        <v>115</v>
      </c>
      <c r="M69" s="8" t="s">
        <v>115</v>
      </c>
      <c r="N69" s="8"/>
      <c r="O69" s="22" t="s">
        <v>115</v>
      </c>
    </row>
    <row r="70" spans="4:15" ht="45" x14ac:dyDescent="0.25">
      <c r="D70" s="8" t="s">
        <v>15</v>
      </c>
      <c r="E70" s="8" t="s">
        <v>89</v>
      </c>
      <c r="F70" s="8" t="s">
        <v>113</v>
      </c>
      <c r="G70" s="23">
        <f>(190-12)*$R$2</f>
        <v>183.51799999999997</v>
      </c>
      <c r="H70" s="8" t="s">
        <v>108</v>
      </c>
      <c r="I70" s="70" t="s">
        <v>303</v>
      </c>
      <c r="J70" s="8" t="s">
        <v>115</v>
      </c>
      <c r="K70" s="8" t="s">
        <v>115</v>
      </c>
      <c r="L70" s="8" t="s">
        <v>115</v>
      </c>
      <c r="M70" s="8" t="s">
        <v>115</v>
      </c>
      <c r="N70" s="8"/>
      <c r="O70" s="22" t="s">
        <v>115</v>
      </c>
    </row>
    <row r="71" spans="4:15" ht="45" x14ac:dyDescent="0.25">
      <c r="D71" s="8" t="s">
        <v>15</v>
      </c>
      <c r="E71" s="8" t="s">
        <v>90</v>
      </c>
      <c r="F71" s="8" t="s">
        <v>113</v>
      </c>
      <c r="G71" s="23">
        <f>(235-12)*$R$2</f>
        <v>229.91299999999998</v>
      </c>
      <c r="H71" s="8" t="s">
        <v>108</v>
      </c>
      <c r="I71" s="70" t="s">
        <v>303</v>
      </c>
      <c r="J71" s="8" t="s">
        <v>115</v>
      </c>
      <c r="K71" s="8" t="s">
        <v>115</v>
      </c>
      <c r="L71" s="8" t="s">
        <v>115</v>
      </c>
      <c r="M71" s="8" t="s">
        <v>115</v>
      </c>
      <c r="N71" s="8"/>
      <c r="O71" s="22" t="s">
        <v>115</v>
      </c>
    </row>
    <row r="72" spans="4:15" ht="45" x14ac:dyDescent="0.25">
      <c r="D72" s="8" t="s">
        <v>15</v>
      </c>
      <c r="E72" s="8" t="s">
        <v>101</v>
      </c>
      <c r="F72" s="8" t="s">
        <v>113</v>
      </c>
      <c r="G72" s="23">
        <f>(295-12)*$R$2</f>
        <v>291.77299999999997</v>
      </c>
      <c r="H72" s="8" t="s">
        <v>108</v>
      </c>
      <c r="I72" s="70" t="s">
        <v>303</v>
      </c>
      <c r="J72" s="8" t="s">
        <v>115</v>
      </c>
      <c r="K72" s="8" t="s">
        <v>115</v>
      </c>
      <c r="L72" s="8" t="s">
        <v>115</v>
      </c>
      <c r="M72" s="8" t="s">
        <v>115</v>
      </c>
      <c r="N72" s="8"/>
      <c r="O72" s="22" t="s">
        <v>115</v>
      </c>
    </row>
    <row r="73" spans="4:15" ht="45" x14ac:dyDescent="0.25">
      <c r="D73" s="8" t="s">
        <v>15</v>
      </c>
      <c r="E73" s="8" t="s">
        <v>102</v>
      </c>
      <c r="F73" s="8" t="s">
        <v>113</v>
      </c>
      <c r="G73" s="23">
        <f>(400-12)*$R$2</f>
        <v>400.02799999999996</v>
      </c>
      <c r="H73" s="8" t="s">
        <v>108</v>
      </c>
      <c r="I73" s="70" t="s">
        <v>303</v>
      </c>
      <c r="J73" s="8" t="s">
        <v>115</v>
      </c>
      <c r="K73" s="8" t="s">
        <v>115</v>
      </c>
      <c r="L73" s="8" t="s">
        <v>115</v>
      </c>
      <c r="M73" s="8" t="s">
        <v>115</v>
      </c>
      <c r="N73" s="8"/>
      <c r="O73" s="22" t="s">
        <v>115</v>
      </c>
    </row>
    <row r="74" spans="4:15" ht="195" x14ac:dyDescent="0.25">
      <c r="D74" s="8" t="s">
        <v>15</v>
      </c>
      <c r="E74" s="8" t="s">
        <v>91</v>
      </c>
      <c r="F74" s="8" t="s">
        <v>96</v>
      </c>
      <c r="G74" s="23">
        <f>320000*$R$2</f>
        <v>329920</v>
      </c>
      <c r="H74" s="8" t="s">
        <v>110</v>
      </c>
      <c r="I74" s="8" t="s">
        <v>201</v>
      </c>
      <c r="J74" s="27" t="s">
        <v>116</v>
      </c>
      <c r="K74" s="8" t="s">
        <v>202</v>
      </c>
      <c r="L74" s="8" t="s">
        <v>97</v>
      </c>
      <c r="M74" s="27" t="s">
        <v>117</v>
      </c>
      <c r="N74" s="8"/>
      <c r="O74" s="8" t="s">
        <v>305</v>
      </c>
    </row>
    <row r="75" spans="4:15" ht="75" x14ac:dyDescent="0.25">
      <c r="D75" s="8" t="s">
        <v>15</v>
      </c>
      <c r="E75" s="8" t="s">
        <v>92</v>
      </c>
      <c r="F75" s="8" t="s">
        <v>96</v>
      </c>
      <c r="G75" s="23">
        <f>420000*$R$2</f>
        <v>433019.99999999994</v>
      </c>
      <c r="H75" s="8" t="s">
        <v>110</v>
      </c>
      <c r="I75" s="8" t="s">
        <v>201</v>
      </c>
      <c r="J75" s="8" t="s">
        <v>115</v>
      </c>
      <c r="K75" s="8" t="s">
        <v>115</v>
      </c>
      <c r="L75" s="8" t="s">
        <v>115</v>
      </c>
      <c r="M75" s="8" t="s">
        <v>115</v>
      </c>
      <c r="N75" s="8"/>
      <c r="O75" s="8" t="s">
        <v>115</v>
      </c>
    </row>
    <row r="76" spans="4:15" ht="75" x14ac:dyDescent="0.25">
      <c r="D76" s="8" t="s">
        <v>15</v>
      </c>
      <c r="E76" s="8" t="s">
        <v>93</v>
      </c>
      <c r="F76" s="8" t="s">
        <v>96</v>
      </c>
      <c r="G76" s="23">
        <f>530000*$R$2</f>
        <v>546430</v>
      </c>
      <c r="H76" s="8" t="s">
        <v>110</v>
      </c>
      <c r="I76" s="8" t="s">
        <v>201</v>
      </c>
      <c r="J76" s="8" t="s">
        <v>115</v>
      </c>
      <c r="K76" s="8" t="s">
        <v>115</v>
      </c>
      <c r="L76" s="8" t="s">
        <v>115</v>
      </c>
      <c r="M76" s="8" t="s">
        <v>115</v>
      </c>
      <c r="N76" s="8"/>
      <c r="O76" s="8" t="s">
        <v>115</v>
      </c>
    </row>
    <row r="77" spans="4:15" ht="75" x14ac:dyDescent="0.25">
      <c r="D77" s="8" t="s">
        <v>15</v>
      </c>
      <c r="E77" s="8" t="s">
        <v>94</v>
      </c>
      <c r="F77" s="8" t="s">
        <v>96</v>
      </c>
      <c r="G77" s="23">
        <f>630000*$R$2</f>
        <v>649530</v>
      </c>
      <c r="H77" s="8" t="s">
        <v>110</v>
      </c>
      <c r="I77" s="8" t="s">
        <v>201</v>
      </c>
      <c r="J77" s="8" t="s">
        <v>115</v>
      </c>
      <c r="K77" s="8" t="s">
        <v>115</v>
      </c>
      <c r="L77" s="8" t="s">
        <v>115</v>
      </c>
      <c r="M77" s="8" t="s">
        <v>115</v>
      </c>
      <c r="N77" s="8"/>
      <c r="O77" s="8" t="s">
        <v>115</v>
      </c>
    </row>
    <row r="78" spans="4:15" ht="75" x14ac:dyDescent="0.25">
      <c r="D78" s="8" t="s">
        <v>15</v>
      </c>
      <c r="E78" s="8" t="s">
        <v>95</v>
      </c>
      <c r="F78" s="8" t="s">
        <v>96</v>
      </c>
      <c r="G78" s="23">
        <f>720000*$R$2</f>
        <v>742319.99999999988</v>
      </c>
      <c r="H78" s="8" t="s">
        <v>110</v>
      </c>
      <c r="I78" s="8" t="s">
        <v>201</v>
      </c>
      <c r="J78" s="8" t="s">
        <v>115</v>
      </c>
      <c r="K78" s="8" t="s">
        <v>115</v>
      </c>
      <c r="L78" s="8" t="s">
        <v>115</v>
      </c>
      <c r="M78" s="8" t="s">
        <v>115</v>
      </c>
      <c r="N78" s="8"/>
      <c r="O78" s="8" t="s">
        <v>115</v>
      </c>
    </row>
    <row r="79" spans="4:15" ht="75" x14ac:dyDescent="0.25">
      <c r="D79" s="8" t="s">
        <v>15</v>
      </c>
      <c r="E79" s="8" t="s">
        <v>99</v>
      </c>
      <c r="F79" s="8" t="s">
        <v>96</v>
      </c>
      <c r="G79" s="23">
        <f>800000*$R$2</f>
        <v>824799.99999999988</v>
      </c>
      <c r="H79" s="8" t="s">
        <v>110</v>
      </c>
      <c r="I79" s="8" t="s">
        <v>201</v>
      </c>
      <c r="J79" s="8" t="s">
        <v>115</v>
      </c>
      <c r="K79" s="8" t="s">
        <v>115</v>
      </c>
      <c r="L79" s="8" t="s">
        <v>115</v>
      </c>
      <c r="M79" s="8" t="s">
        <v>115</v>
      </c>
      <c r="N79" s="8"/>
      <c r="O79" s="8" t="s">
        <v>115</v>
      </c>
    </row>
    <row r="80" spans="4:15" ht="75" x14ac:dyDescent="0.25">
      <c r="D80" s="8" t="s">
        <v>15</v>
      </c>
      <c r="E80" s="8" t="s">
        <v>100</v>
      </c>
      <c r="F80" s="8" t="s">
        <v>96</v>
      </c>
      <c r="G80" s="23">
        <f>950000*$R$2</f>
        <v>979449.99999999988</v>
      </c>
      <c r="H80" s="8" t="s">
        <v>110</v>
      </c>
      <c r="I80" s="8" t="s">
        <v>201</v>
      </c>
      <c r="J80" s="8" t="s">
        <v>115</v>
      </c>
      <c r="K80" s="8" t="s">
        <v>115</v>
      </c>
      <c r="L80" s="8" t="s">
        <v>115</v>
      </c>
      <c r="M80" s="8" t="s">
        <v>115</v>
      </c>
      <c r="N80" s="8"/>
      <c r="O80" s="8" t="s">
        <v>115</v>
      </c>
    </row>
    <row r="81" spans="4:15" ht="75" x14ac:dyDescent="0.25">
      <c r="D81" s="8" t="s">
        <v>15</v>
      </c>
      <c r="E81" s="8" t="s">
        <v>151</v>
      </c>
      <c r="F81" s="8" t="s">
        <v>96</v>
      </c>
      <c r="G81" s="23">
        <f>1070000*$R$2</f>
        <v>1103170</v>
      </c>
      <c r="H81" s="8" t="s">
        <v>110</v>
      </c>
      <c r="I81" s="8" t="s">
        <v>201</v>
      </c>
      <c r="J81" s="8" t="s">
        <v>115</v>
      </c>
      <c r="K81" s="8" t="s">
        <v>115</v>
      </c>
      <c r="L81" s="8" t="s">
        <v>115</v>
      </c>
      <c r="M81" s="8" t="s">
        <v>115</v>
      </c>
      <c r="N81" s="8"/>
      <c r="O81" s="8" t="s">
        <v>115</v>
      </c>
    </row>
    <row r="82" spans="4:15" ht="75" x14ac:dyDescent="0.25">
      <c r="D82" s="8" t="s">
        <v>15</v>
      </c>
      <c r="E82" s="8" t="s">
        <v>152</v>
      </c>
      <c r="F82" s="8" t="s">
        <v>96</v>
      </c>
      <c r="G82" s="23">
        <f>1300000*$R$2</f>
        <v>1340300</v>
      </c>
      <c r="H82" s="8" t="s">
        <v>110</v>
      </c>
      <c r="I82" s="8" t="s">
        <v>201</v>
      </c>
      <c r="J82" s="8" t="s">
        <v>115</v>
      </c>
      <c r="K82" s="8" t="s">
        <v>115</v>
      </c>
      <c r="L82" s="8" t="s">
        <v>115</v>
      </c>
      <c r="M82" s="8" t="s">
        <v>115</v>
      </c>
      <c r="N82" s="8"/>
      <c r="O82" s="8" t="s">
        <v>115</v>
      </c>
    </row>
    <row r="83" spans="4:15" ht="75" x14ac:dyDescent="0.25">
      <c r="D83" s="8" t="s">
        <v>15</v>
      </c>
      <c r="E83" s="8" t="s">
        <v>153</v>
      </c>
      <c r="F83" s="8" t="s">
        <v>96</v>
      </c>
      <c r="G83" s="23">
        <f>1500000*$R$2</f>
        <v>1546499.9999999998</v>
      </c>
      <c r="H83" s="8" t="s">
        <v>110</v>
      </c>
      <c r="I83" s="8" t="s">
        <v>201</v>
      </c>
      <c r="J83" s="8" t="s">
        <v>115</v>
      </c>
      <c r="K83" s="8" t="s">
        <v>115</v>
      </c>
      <c r="L83" s="8" t="s">
        <v>115</v>
      </c>
      <c r="M83" s="8" t="s">
        <v>115</v>
      </c>
      <c r="N83" s="8"/>
      <c r="O83" s="8" t="s">
        <v>115</v>
      </c>
    </row>
    <row r="84" spans="4:15" ht="75" x14ac:dyDescent="0.25">
      <c r="D84" s="8" t="s">
        <v>15</v>
      </c>
      <c r="E84" s="8" t="s">
        <v>154</v>
      </c>
      <c r="F84" s="8" t="s">
        <v>96</v>
      </c>
      <c r="G84" s="23">
        <f>1600000*$R$2</f>
        <v>1649599.9999999998</v>
      </c>
      <c r="H84" s="8" t="s">
        <v>110</v>
      </c>
      <c r="I84" s="8" t="s">
        <v>201</v>
      </c>
      <c r="J84" s="8" t="s">
        <v>115</v>
      </c>
      <c r="K84" s="8" t="s">
        <v>115</v>
      </c>
      <c r="L84" s="8" t="s">
        <v>115</v>
      </c>
      <c r="M84" s="8" t="s">
        <v>115</v>
      </c>
      <c r="N84" s="8"/>
      <c r="O84" s="8" t="s">
        <v>115</v>
      </c>
    </row>
    <row r="85" spans="4:15" ht="180" x14ac:dyDescent="0.25">
      <c r="D85" s="8" t="s">
        <v>12</v>
      </c>
      <c r="E85" s="27" t="s">
        <v>118</v>
      </c>
      <c r="F85" s="8" t="s">
        <v>96</v>
      </c>
      <c r="G85" s="23">
        <f>80000*$R$2</f>
        <v>82480</v>
      </c>
      <c r="H85" s="8" t="s">
        <v>124</v>
      </c>
      <c r="I85" s="8" t="s">
        <v>203</v>
      </c>
      <c r="J85" s="27" t="s">
        <v>116</v>
      </c>
      <c r="K85" s="8" t="s">
        <v>204</v>
      </c>
      <c r="L85" s="8" t="s">
        <v>123</v>
      </c>
      <c r="M85" s="27" t="s">
        <v>205</v>
      </c>
      <c r="N85" s="8"/>
      <c r="O85" s="8" t="s">
        <v>280</v>
      </c>
    </row>
    <row r="86" spans="4:15" ht="60" x14ac:dyDescent="0.25">
      <c r="D86" s="8" t="s">
        <v>12</v>
      </c>
      <c r="E86" s="27" t="s">
        <v>119</v>
      </c>
      <c r="F86" s="8" t="s">
        <v>96</v>
      </c>
      <c r="G86" s="23">
        <f>115000*$R$2</f>
        <v>118564.99999999999</v>
      </c>
      <c r="H86" s="8" t="s">
        <v>124</v>
      </c>
      <c r="I86" s="8" t="s">
        <v>203</v>
      </c>
      <c r="J86" s="8" t="s">
        <v>115</v>
      </c>
      <c r="K86" s="8" t="s">
        <v>115</v>
      </c>
      <c r="L86" s="8" t="s">
        <v>115</v>
      </c>
      <c r="M86" s="8" t="s">
        <v>115</v>
      </c>
      <c r="N86" s="8"/>
      <c r="O86" s="8" t="s">
        <v>115</v>
      </c>
    </row>
    <row r="87" spans="4:15" ht="60" x14ac:dyDescent="0.25">
      <c r="D87" s="8" t="s">
        <v>12</v>
      </c>
      <c r="E87" s="27" t="s">
        <v>120</v>
      </c>
      <c r="F87" s="8" t="s">
        <v>96</v>
      </c>
      <c r="G87" s="23">
        <f>140000*$R$2</f>
        <v>144340</v>
      </c>
      <c r="H87" s="8" t="s">
        <v>124</v>
      </c>
      <c r="I87" s="8" t="s">
        <v>203</v>
      </c>
      <c r="J87" s="8" t="s">
        <v>115</v>
      </c>
      <c r="K87" s="8" t="s">
        <v>115</v>
      </c>
      <c r="L87" s="8" t="s">
        <v>115</v>
      </c>
      <c r="M87" s="8" t="s">
        <v>115</v>
      </c>
      <c r="N87" s="8"/>
      <c r="O87" s="8" t="s">
        <v>115</v>
      </c>
    </row>
    <row r="88" spans="4:15" ht="60" x14ac:dyDescent="0.25">
      <c r="D88" s="8" t="s">
        <v>12</v>
      </c>
      <c r="E88" s="27" t="s">
        <v>121</v>
      </c>
      <c r="F88" s="8" t="s">
        <v>96</v>
      </c>
      <c r="G88" s="23">
        <f>190000*$R$2</f>
        <v>195889.99999999997</v>
      </c>
      <c r="H88" s="8" t="s">
        <v>124</v>
      </c>
      <c r="I88" s="8" t="s">
        <v>203</v>
      </c>
      <c r="J88" s="8" t="s">
        <v>115</v>
      </c>
      <c r="K88" s="8" t="s">
        <v>115</v>
      </c>
      <c r="L88" s="8" t="s">
        <v>115</v>
      </c>
      <c r="M88" s="8" t="s">
        <v>115</v>
      </c>
      <c r="N88" s="8"/>
      <c r="O88" s="8" t="s">
        <v>115</v>
      </c>
    </row>
    <row r="89" spans="4:15" ht="60" x14ac:dyDescent="0.25">
      <c r="D89" s="8" t="s">
        <v>12</v>
      </c>
      <c r="E89" s="27" t="s">
        <v>122</v>
      </c>
      <c r="F89" s="8" t="s">
        <v>96</v>
      </c>
      <c r="G89" s="23">
        <f>370000*$R$2</f>
        <v>381469.99999999994</v>
      </c>
      <c r="H89" s="8" t="s">
        <v>124</v>
      </c>
      <c r="I89" s="8" t="s">
        <v>203</v>
      </c>
      <c r="J89" s="8" t="s">
        <v>115</v>
      </c>
      <c r="K89" s="8" t="s">
        <v>115</v>
      </c>
      <c r="L89" s="8" t="s">
        <v>115</v>
      </c>
      <c r="M89" s="8" t="s">
        <v>115</v>
      </c>
      <c r="N89" s="8"/>
      <c r="O89" s="8" t="s">
        <v>115</v>
      </c>
    </row>
    <row r="90" spans="4:15" ht="180" x14ac:dyDescent="0.25">
      <c r="D90" s="8" t="s">
        <v>12</v>
      </c>
      <c r="E90" s="27" t="s">
        <v>206</v>
      </c>
      <c r="F90" s="8" t="s">
        <v>96</v>
      </c>
      <c r="G90" s="23">
        <f>395000*$R$2</f>
        <v>407244.99999999994</v>
      </c>
      <c r="H90" s="8" t="s">
        <v>124</v>
      </c>
      <c r="I90" s="8" t="s">
        <v>207</v>
      </c>
      <c r="J90" s="27" t="s">
        <v>116</v>
      </c>
      <c r="K90" s="8" t="s">
        <v>208</v>
      </c>
      <c r="L90" s="8" t="s">
        <v>125</v>
      </c>
      <c r="M90" s="27" t="s">
        <v>209</v>
      </c>
      <c r="N90" s="8"/>
      <c r="O90" s="8" t="s">
        <v>280</v>
      </c>
    </row>
    <row r="91" spans="4:15" ht="60" x14ac:dyDescent="0.25">
      <c r="D91" s="8" t="s">
        <v>12</v>
      </c>
      <c r="E91" s="27" t="s">
        <v>210</v>
      </c>
      <c r="F91" s="8" t="s">
        <v>96</v>
      </c>
      <c r="G91" s="23">
        <f>590000*$R$2</f>
        <v>608290</v>
      </c>
      <c r="H91" s="8" t="s">
        <v>124</v>
      </c>
      <c r="I91" s="8" t="s">
        <v>207</v>
      </c>
      <c r="J91" s="8" t="s">
        <v>115</v>
      </c>
      <c r="K91" s="8" t="s">
        <v>115</v>
      </c>
      <c r="L91" s="8" t="s">
        <v>115</v>
      </c>
      <c r="M91" s="8" t="s">
        <v>115</v>
      </c>
      <c r="N91" s="8"/>
      <c r="O91" s="8" t="s">
        <v>115</v>
      </c>
    </row>
    <row r="92" spans="4:15" ht="60" x14ac:dyDescent="0.25">
      <c r="D92" s="8" t="s">
        <v>12</v>
      </c>
      <c r="E92" s="27" t="s">
        <v>211</v>
      </c>
      <c r="F92" s="8" t="s">
        <v>96</v>
      </c>
      <c r="G92" s="23">
        <f>840000*$R$2</f>
        <v>866039.99999999988</v>
      </c>
      <c r="H92" s="8" t="s">
        <v>124</v>
      </c>
      <c r="I92" s="8" t="s">
        <v>207</v>
      </c>
      <c r="J92" s="8" t="s">
        <v>115</v>
      </c>
      <c r="K92" s="8" t="s">
        <v>115</v>
      </c>
      <c r="L92" s="8" t="s">
        <v>115</v>
      </c>
      <c r="M92" s="8" t="s">
        <v>115</v>
      </c>
      <c r="N92" s="8"/>
      <c r="O92" s="8" t="s">
        <v>115</v>
      </c>
    </row>
    <row r="93" spans="4:15" ht="60" x14ac:dyDescent="0.25">
      <c r="D93" s="8" t="s">
        <v>12</v>
      </c>
      <c r="E93" s="27" t="s">
        <v>212</v>
      </c>
      <c r="F93" s="8" t="s">
        <v>96</v>
      </c>
      <c r="G93" s="23">
        <f>1150000*$R$2</f>
        <v>1185650</v>
      </c>
      <c r="H93" s="8" t="s">
        <v>124</v>
      </c>
      <c r="I93" s="8" t="s">
        <v>207</v>
      </c>
      <c r="J93" s="8" t="s">
        <v>115</v>
      </c>
      <c r="K93" s="8" t="s">
        <v>115</v>
      </c>
      <c r="L93" s="8" t="s">
        <v>115</v>
      </c>
      <c r="M93" s="8" t="s">
        <v>115</v>
      </c>
      <c r="N93" s="8"/>
      <c r="O93" s="8" t="s">
        <v>115</v>
      </c>
    </row>
    <row r="94" spans="4:15" ht="60" x14ac:dyDescent="0.25">
      <c r="D94" s="8" t="s">
        <v>12</v>
      </c>
      <c r="E94" s="27" t="s">
        <v>213</v>
      </c>
      <c r="F94" s="8" t="s">
        <v>96</v>
      </c>
      <c r="G94" s="23">
        <f>1320000*$R$2</f>
        <v>1360920</v>
      </c>
      <c r="H94" s="8" t="s">
        <v>124</v>
      </c>
      <c r="I94" s="8" t="s">
        <v>207</v>
      </c>
      <c r="J94" s="8" t="s">
        <v>115</v>
      </c>
      <c r="K94" s="8" t="s">
        <v>115</v>
      </c>
      <c r="L94" s="8" t="s">
        <v>115</v>
      </c>
      <c r="M94" s="8" t="s">
        <v>115</v>
      </c>
      <c r="N94" s="8"/>
      <c r="O94" s="8" t="s">
        <v>115</v>
      </c>
    </row>
    <row r="95" spans="4:15" ht="60" x14ac:dyDescent="0.25">
      <c r="D95" s="8" t="s">
        <v>12</v>
      </c>
      <c r="E95" s="27" t="s">
        <v>214</v>
      </c>
      <c r="F95" s="8" t="s">
        <v>96</v>
      </c>
      <c r="G95" s="23">
        <f>1800000*$R$2</f>
        <v>1855799.9999999998</v>
      </c>
      <c r="H95" s="8" t="s">
        <v>124</v>
      </c>
      <c r="I95" s="8" t="s">
        <v>207</v>
      </c>
      <c r="J95" s="8" t="s">
        <v>115</v>
      </c>
      <c r="K95" s="8" t="s">
        <v>115</v>
      </c>
      <c r="L95" s="8" t="s">
        <v>115</v>
      </c>
      <c r="M95" s="8" t="s">
        <v>115</v>
      </c>
      <c r="N95" s="8"/>
      <c r="O95" s="8" t="s">
        <v>115</v>
      </c>
    </row>
    <row r="96" spans="4:15" ht="60" x14ac:dyDescent="0.25">
      <c r="D96" s="8" t="s">
        <v>12</v>
      </c>
      <c r="E96" s="27" t="s">
        <v>215</v>
      </c>
      <c r="F96" s="8" t="s">
        <v>96</v>
      </c>
      <c r="G96" s="23">
        <f>2100000*$R$2</f>
        <v>2165100</v>
      </c>
      <c r="H96" s="8" t="s">
        <v>124</v>
      </c>
      <c r="I96" s="8" t="s">
        <v>207</v>
      </c>
      <c r="J96" s="8" t="s">
        <v>115</v>
      </c>
      <c r="K96" s="8" t="s">
        <v>115</v>
      </c>
      <c r="L96" s="8" t="s">
        <v>115</v>
      </c>
      <c r="M96" s="8" t="s">
        <v>115</v>
      </c>
      <c r="N96" s="8"/>
      <c r="O96" s="8" t="s">
        <v>115</v>
      </c>
    </row>
    <row r="97" spans="4:15" ht="60" x14ac:dyDescent="0.25">
      <c r="D97" s="8" t="s">
        <v>12</v>
      </c>
      <c r="E97" s="27" t="s">
        <v>216</v>
      </c>
      <c r="F97" s="8" t="s">
        <v>96</v>
      </c>
      <c r="G97" s="23">
        <f>2850000*$R$2</f>
        <v>2938349.9999999995</v>
      </c>
      <c r="H97" s="8" t="s">
        <v>124</v>
      </c>
      <c r="I97" s="8" t="s">
        <v>207</v>
      </c>
      <c r="J97" s="8" t="s">
        <v>115</v>
      </c>
      <c r="K97" s="8" t="s">
        <v>115</v>
      </c>
      <c r="L97" s="8" t="s">
        <v>115</v>
      </c>
      <c r="M97" s="8" t="s">
        <v>115</v>
      </c>
      <c r="N97" s="8"/>
      <c r="O97" s="8" t="s">
        <v>115</v>
      </c>
    </row>
    <row r="98" spans="4:15" x14ac:dyDescent="0.25">
      <c r="D98" s="8"/>
      <c r="E98" s="8"/>
      <c r="F98" s="8"/>
      <c r="G98" s="8"/>
      <c r="H98" s="8"/>
      <c r="I98" s="8"/>
      <c r="J98" s="8"/>
      <c r="K98" s="8"/>
      <c r="L98" s="8"/>
      <c r="M98" s="8"/>
      <c r="N98" s="8"/>
      <c r="O98" s="8"/>
    </row>
    <row r="99" spans="4:15" x14ac:dyDescent="0.25">
      <c r="D99" s="8"/>
      <c r="E99" s="8"/>
      <c r="F99" s="8"/>
      <c r="G99" s="8"/>
      <c r="H99" s="8"/>
      <c r="I99" s="8"/>
      <c r="J99" s="8"/>
      <c r="K99" s="8"/>
      <c r="L99" s="8"/>
      <c r="M99" s="8"/>
      <c r="N99" s="8"/>
      <c r="O99" s="8"/>
    </row>
    <row r="100" spans="4:15" x14ac:dyDescent="0.25">
      <c r="D100" s="8"/>
      <c r="E100" s="8"/>
      <c r="F100" s="8"/>
      <c r="G100" s="8"/>
      <c r="H100" s="8"/>
      <c r="I100" s="8"/>
      <c r="J100" s="8"/>
      <c r="K100" s="8"/>
      <c r="L100" s="8"/>
      <c r="M100" s="8"/>
      <c r="N100" s="8"/>
      <c r="O100" s="8"/>
    </row>
    <row r="101" spans="4:15" x14ac:dyDescent="0.25">
      <c r="D101" s="8"/>
      <c r="E101" s="8"/>
      <c r="F101" s="8"/>
      <c r="G101" s="8"/>
      <c r="H101" s="8"/>
      <c r="I101" s="8"/>
      <c r="J101" s="8"/>
      <c r="K101" s="8"/>
      <c r="L101" s="8"/>
      <c r="M101" s="8"/>
      <c r="N101" s="8"/>
      <c r="O101" s="8"/>
    </row>
    <row r="102" spans="4:15" x14ac:dyDescent="0.25">
      <c r="D102" s="8"/>
      <c r="E102" s="8"/>
      <c r="F102" s="8"/>
      <c r="G102" s="8"/>
      <c r="H102" s="8"/>
      <c r="I102" s="8"/>
      <c r="J102" s="8"/>
      <c r="K102" s="8"/>
      <c r="L102" s="8"/>
      <c r="M102" s="8"/>
      <c r="N102" s="8"/>
      <c r="O102" s="8"/>
    </row>
    <row r="103" spans="4:15" x14ac:dyDescent="0.25">
      <c r="D103" s="7"/>
      <c r="E103" s="7"/>
      <c r="F103" s="7"/>
      <c r="G103" s="7"/>
      <c r="H103" s="7"/>
      <c r="I103" s="7"/>
      <c r="J103" s="7"/>
      <c r="K103" s="7"/>
      <c r="L103" s="7"/>
      <c r="M103" s="7"/>
      <c r="N103" s="7"/>
      <c r="O103" s="7"/>
    </row>
    <row r="104" spans="4:15" x14ac:dyDescent="0.25">
      <c r="D104" s="7"/>
      <c r="E104" s="7"/>
      <c r="F104" s="7"/>
      <c r="G104" s="7"/>
      <c r="H104" s="7"/>
      <c r="I104" s="7"/>
      <c r="J104" s="7"/>
      <c r="K104" s="7"/>
      <c r="L104" s="7"/>
      <c r="M104" s="7"/>
      <c r="N104" s="7"/>
      <c r="O104" s="7"/>
    </row>
    <row r="105" spans="4:15" x14ac:dyDescent="0.25">
      <c r="D105" s="7"/>
      <c r="E105" s="7"/>
      <c r="F105" s="7"/>
      <c r="G105" s="7"/>
      <c r="H105" s="7"/>
      <c r="I105" s="7"/>
      <c r="J105" s="7"/>
      <c r="K105" s="7"/>
      <c r="L105" s="7"/>
      <c r="M105" s="7"/>
      <c r="N105" s="7"/>
      <c r="O105" s="7"/>
    </row>
    <row r="106" spans="4:15" x14ac:dyDescent="0.25">
      <c r="D106" s="4"/>
      <c r="E106" s="4"/>
      <c r="F106" s="4"/>
      <c r="G106" s="4"/>
      <c r="H106" s="4"/>
      <c r="I106" s="4"/>
      <c r="J106" s="4"/>
      <c r="K106" s="4"/>
      <c r="L106" s="4"/>
      <c r="M106" s="4"/>
      <c r="N106" s="4"/>
      <c r="O106" s="4"/>
    </row>
  </sheetData>
  <sheetProtection algorithmName="SHA-512" hashValue="Nw+K1TCrPQI8s2+0bJy6GmWoQCOs4mWxKY9uvXlAOfFgyBJsn6Hnx5Cb+5YXJ4B0Yp5d7xNIlfv9kBM4qCkSzQ==" saltValue="JSC85BM7tYYiBP+kL3ENYQ==" spinCount="100000" sheet="1" sort="0" autoFilter="0"/>
  <autoFilter ref="D10:O106">
    <filterColumn colId="3" showButton="0"/>
    <filterColumn colId="4" showButton="0"/>
    <filterColumn colId="6" showButton="0"/>
    <filterColumn colId="7" showButton="0"/>
    <filterColumn colId="8" showButton="0"/>
    <filterColumn colId="9" showButton="0"/>
  </autoFilter>
  <mergeCells count="6">
    <mergeCell ref="O10:O11"/>
    <mergeCell ref="G10:I10"/>
    <mergeCell ref="J10:N10"/>
    <mergeCell ref="D10:D11"/>
    <mergeCell ref="E10:E11"/>
    <mergeCell ref="F10:F11"/>
  </mergeCells>
  <dataValidations count="1">
    <dataValidation type="list" allowBlank="1" showInputMessage="1" showErrorMessage="1" sqref="D12:D182">
      <formula1>Service_Names</formula1>
    </dataValidation>
  </dataValidations>
  <pageMargins left="0.7" right="0.7" top="0.75" bottom="0.75" header="0.3" footer="0.3"/>
  <pageSetup paperSize="8" scale="52" fitToHeight="0"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6:L118"/>
  <sheetViews>
    <sheetView showGridLines="0" view="pageBreakPreview" topLeftCell="F1" zoomScaleNormal="100" zoomScaleSheetLayoutView="100" workbookViewId="0">
      <selection activeCell="G12" sqref="G12"/>
    </sheetView>
  </sheetViews>
  <sheetFormatPr defaultRowHeight="15" x14ac:dyDescent="0.25"/>
  <cols>
    <col min="1" max="3" width="8.7109375" hidden="1" customWidth="1"/>
    <col min="4" max="4" width="11.140625" hidden="1" customWidth="1"/>
    <col min="5" max="5" width="8.7109375" hidden="1" customWidth="1"/>
    <col min="6" max="6" width="55.28515625" style="57" customWidth="1"/>
    <col min="7" max="12" width="20.7109375" customWidth="1"/>
  </cols>
  <sheetData>
    <row r="6" spans="6:12" ht="20.65" x14ac:dyDescent="0.45">
      <c r="G6" s="65" t="s">
        <v>175</v>
      </c>
    </row>
    <row r="8" spans="6:12" thickBot="1" x14ac:dyDescent="0.4"/>
    <row r="9" spans="6:12" ht="32.1" customHeight="1" thickTop="1" x14ac:dyDescent="0.35">
      <c r="G9" s="221" t="s">
        <v>30</v>
      </c>
      <c r="H9" s="222"/>
      <c r="I9" s="221" t="s">
        <v>31</v>
      </c>
      <c r="J9" s="222"/>
      <c r="K9" s="221" t="s">
        <v>32</v>
      </c>
      <c r="L9" s="222"/>
    </row>
    <row r="10" spans="6:12" thickBot="1" x14ac:dyDescent="0.4">
      <c r="G10" s="18" t="s">
        <v>28</v>
      </c>
      <c r="H10" s="19" t="s">
        <v>29</v>
      </c>
      <c r="I10" s="18" t="s">
        <v>28</v>
      </c>
      <c r="J10" s="19" t="s">
        <v>29</v>
      </c>
      <c r="K10" s="18" t="s">
        <v>28</v>
      </c>
      <c r="L10" s="19" t="s">
        <v>29</v>
      </c>
    </row>
    <row r="11" spans="6:12" thickTop="1" x14ac:dyDescent="0.35">
      <c r="F11" s="58" t="s">
        <v>19</v>
      </c>
      <c r="G11" s="16"/>
      <c r="H11" s="17"/>
      <c r="I11" s="16"/>
      <c r="J11" s="17"/>
      <c r="K11" s="16"/>
      <c r="L11" s="17"/>
    </row>
    <row r="12" spans="6:12" ht="58.15" x14ac:dyDescent="0.35">
      <c r="F12" s="59" t="s">
        <v>20</v>
      </c>
      <c r="G12" s="10" t="s">
        <v>33</v>
      </c>
      <c r="H12" s="11" t="s">
        <v>33</v>
      </c>
      <c r="I12" s="10" t="s">
        <v>224</v>
      </c>
      <c r="J12" s="11" t="s">
        <v>224</v>
      </c>
      <c r="K12" s="10" t="s">
        <v>225</v>
      </c>
      <c r="L12" s="11" t="s">
        <v>225</v>
      </c>
    </row>
    <row r="13" spans="6:12" ht="28.9" x14ac:dyDescent="0.35">
      <c r="F13" s="59" t="s">
        <v>35</v>
      </c>
      <c r="G13" s="10" t="s">
        <v>34</v>
      </c>
      <c r="H13" s="12" t="s">
        <v>226</v>
      </c>
      <c r="I13" s="13" t="s">
        <v>127</v>
      </c>
      <c r="J13" s="12" t="s">
        <v>98</v>
      </c>
      <c r="K13" s="13" t="s">
        <v>128</v>
      </c>
      <c r="L13" s="12" t="s">
        <v>98</v>
      </c>
    </row>
    <row r="14" spans="6:12" ht="14.65" x14ac:dyDescent="0.35">
      <c r="F14" s="59" t="s">
        <v>21</v>
      </c>
      <c r="G14" s="13" t="s">
        <v>77</v>
      </c>
      <c r="H14" s="12"/>
      <c r="I14" s="13" t="s">
        <v>158</v>
      </c>
      <c r="J14" s="12"/>
      <c r="K14" s="13" t="s">
        <v>156</v>
      </c>
      <c r="L14" s="12"/>
    </row>
    <row r="15" spans="6:12" ht="14.65" x14ac:dyDescent="0.35">
      <c r="F15" s="59" t="s">
        <v>22</v>
      </c>
      <c r="G15" s="13"/>
      <c r="H15" s="12" t="s">
        <v>78</v>
      </c>
      <c r="I15" s="13"/>
      <c r="J15" s="12" t="s">
        <v>157</v>
      </c>
      <c r="K15" s="13"/>
      <c r="L15" s="12" t="s">
        <v>155</v>
      </c>
    </row>
    <row r="16" spans="6:12" ht="14.65" x14ac:dyDescent="0.35">
      <c r="F16" s="59"/>
      <c r="G16" s="14"/>
      <c r="H16" s="15"/>
      <c r="I16" s="14"/>
      <c r="J16" s="15"/>
      <c r="K16" s="14"/>
      <c r="L16" s="15"/>
    </row>
    <row r="17" spans="1:12" ht="14.65" x14ac:dyDescent="0.35">
      <c r="F17" s="58" t="s">
        <v>23</v>
      </c>
      <c r="G17" s="20"/>
      <c r="H17" s="21"/>
      <c r="I17" s="20"/>
      <c r="J17" s="21"/>
      <c r="K17" s="20"/>
      <c r="L17" s="21"/>
    </row>
    <row r="18" spans="1:12" ht="14.65" x14ac:dyDescent="0.35">
      <c r="F18" s="59" t="s">
        <v>24</v>
      </c>
      <c r="G18" s="13">
        <v>2000</v>
      </c>
      <c r="H18" s="12">
        <v>2000</v>
      </c>
      <c r="I18" s="13">
        <v>2000</v>
      </c>
      <c r="J18" s="12">
        <v>2000</v>
      </c>
      <c r="K18" s="13">
        <v>10000</v>
      </c>
      <c r="L18" s="12">
        <v>10000</v>
      </c>
    </row>
    <row r="19" spans="1:12" ht="14.65" x14ac:dyDescent="0.35">
      <c r="F19" s="59" t="s">
        <v>306</v>
      </c>
      <c r="G19" s="32"/>
      <c r="H19" s="33"/>
      <c r="I19" s="32">
        <f>'Benchmark Unit Rates'!$G$12*'Example Scenarios'!I18</f>
        <v>900000</v>
      </c>
      <c r="J19" s="33"/>
      <c r="K19" s="32">
        <f>'Benchmark Unit Rates'!$G$12*'Example Scenarios'!K18</f>
        <v>4500000</v>
      </c>
      <c r="L19" s="33"/>
    </row>
    <row r="20" spans="1:12" ht="14.65" x14ac:dyDescent="0.35">
      <c r="F20" s="59" t="s">
        <v>307</v>
      </c>
      <c r="G20" s="32">
        <f>G18*'Benchmark Unit Rates'!G13</f>
        <v>640000</v>
      </c>
      <c r="H20" s="33"/>
      <c r="I20" s="32"/>
      <c r="J20" s="33"/>
      <c r="K20" s="32"/>
      <c r="L20" s="33"/>
    </row>
    <row r="21" spans="1:12" ht="14.65" x14ac:dyDescent="0.35">
      <c r="F21" s="59"/>
      <c r="G21" s="34"/>
      <c r="H21" s="35"/>
      <c r="I21" s="34"/>
      <c r="J21" s="35"/>
      <c r="K21" s="34"/>
      <c r="L21" s="35"/>
    </row>
    <row r="22" spans="1:12" ht="14.65" x14ac:dyDescent="0.35">
      <c r="F22" s="81" t="s">
        <v>309</v>
      </c>
      <c r="G22" s="36"/>
      <c r="H22" s="37"/>
      <c r="I22" s="36"/>
      <c r="J22" s="37"/>
      <c r="K22" s="36"/>
      <c r="L22" s="37"/>
    </row>
    <row r="23" spans="1:12" ht="14.65" x14ac:dyDescent="0.35">
      <c r="F23" s="82" t="s">
        <v>253</v>
      </c>
      <c r="G23" s="102">
        <f>4*12*$G$18</f>
        <v>96000</v>
      </c>
      <c r="H23" s="103"/>
      <c r="I23" s="102">
        <f>4*12*$I$18</f>
        <v>96000</v>
      </c>
      <c r="J23" s="103"/>
      <c r="K23" s="102">
        <f>2*12*$K$18</f>
        <v>240000</v>
      </c>
      <c r="L23" s="103"/>
    </row>
    <row r="24" spans="1:12" ht="14.65" x14ac:dyDescent="0.35">
      <c r="F24" s="82" t="s">
        <v>399</v>
      </c>
      <c r="G24" s="102">
        <v>1900</v>
      </c>
      <c r="H24" s="103"/>
      <c r="I24" s="102">
        <v>1900</v>
      </c>
      <c r="J24" s="103"/>
      <c r="K24" s="102">
        <v>11914</v>
      </c>
      <c r="L24" s="103"/>
    </row>
    <row r="25" spans="1:12" ht="14.65" x14ac:dyDescent="0.35">
      <c r="A25" t="s">
        <v>217</v>
      </c>
      <c r="F25" s="82" t="s">
        <v>398</v>
      </c>
      <c r="G25" s="102">
        <v>0</v>
      </c>
      <c r="H25" s="103"/>
      <c r="I25" s="102">
        <v>0</v>
      </c>
      <c r="J25" s="103"/>
      <c r="K25" s="102">
        <f>'Benchmark Unit Rates'!G15*$K$18</f>
        <v>154500</v>
      </c>
      <c r="L25" s="103"/>
    </row>
    <row r="26" spans="1:12" ht="14.45" x14ac:dyDescent="0.3">
      <c r="F26" s="82" t="s">
        <v>254</v>
      </c>
      <c r="G26" s="102">
        <f>1*12*$G$18</f>
        <v>24000</v>
      </c>
      <c r="H26" s="103"/>
      <c r="I26" s="102">
        <f>1*12*$I$18</f>
        <v>24000</v>
      </c>
      <c r="J26" s="103"/>
      <c r="K26" s="102">
        <f>0.5*12*$K$18</f>
        <v>60000</v>
      </c>
      <c r="L26" s="103"/>
    </row>
    <row r="27" spans="1:12" ht="14.45" x14ac:dyDescent="0.3">
      <c r="F27" s="82" t="s">
        <v>308</v>
      </c>
      <c r="G27" s="102">
        <f>G18*'Benchmark Unit Rates'!G16</f>
        <v>5000</v>
      </c>
      <c r="H27" s="103"/>
      <c r="I27" s="102">
        <v>0</v>
      </c>
      <c r="J27" s="103"/>
      <c r="K27" s="102">
        <v>0</v>
      </c>
      <c r="L27" s="103"/>
    </row>
    <row r="28" spans="1:12" ht="14.45" x14ac:dyDescent="0.3">
      <c r="F28" s="82" t="s">
        <v>394</v>
      </c>
      <c r="G28" s="102">
        <f>90184*1.15*2</f>
        <v>207423.19999999998</v>
      </c>
      <c r="H28" s="103"/>
      <c r="I28" s="102">
        <f>90184*1.15*2</f>
        <v>207423.19999999998</v>
      </c>
      <c r="J28" s="103"/>
      <c r="K28" s="102">
        <f>90184*1.15*3</f>
        <v>311134.8</v>
      </c>
      <c r="L28" s="103"/>
    </row>
    <row r="29" spans="1:12" ht="14.45" x14ac:dyDescent="0.3">
      <c r="F29" s="82" t="s">
        <v>255</v>
      </c>
      <c r="G29" s="102">
        <f>1*12*$G$18</f>
        <v>24000</v>
      </c>
      <c r="H29" s="103"/>
      <c r="I29" s="102">
        <f>1*12*$I$18</f>
        <v>24000</v>
      </c>
      <c r="J29" s="103"/>
      <c r="K29" s="102">
        <f>0.5*12*$K$18</f>
        <v>60000</v>
      </c>
      <c r="L29" s="103"/>
    </row>
    <row r="30" spans="1:12" ht="14.45" x14ac:dyDescent="0.3">
      <c r="F30" s="107" t="s">
        <v>400</v>
      </c>
      <c r="G30" s="108">
        <f>SUM(G23:G29)</f>
        <v>358323.19999999995</v>
      </c>
      <c r="H30" s="103"/>
      <c r="I30" s="108">
        <f>SUM(I23:I29)</f>
        <v>353323.19999999995</v>
      </c>
      <c r="J30" s="103"/>
      <c r="K30" s="108">
        <f>SUM(K23:K29)</f>
        <v>837548.8</v>
      </c>
      <c r="L30" s="103"/>
    </row>
    <row r="31" spans="1:12" ht="14.45" x14ac:dyDescent="0.3">
      <c r="F31" s="107" t="s">
        <v>401</v>
      </c>
      <c r="G31" s="108">
        <f>G23+G25+G26+G27+G28+G29</f>
        <v>356423.19999999995</v>
      </c>
      <c r="H31" s="109"/>
      <c r="I31" s="108">
        <f>I23+I25+I26+I27+I28+I29</f>
        <v>351423.19999999995</v>
      </c>
      <c r="J31" s="109"/>
      <c r="K31" s="108">
        <f>K23+K25+K26+K27+K28+K29</f>
        <v>825634.8</v>
      </c>
      <c r="L31" s="109"/>
    </row>
    <row r="32" spans="1:12" x14ac:dyDescent="0.25">
      <c r="A32" s="71" t="s">
        <v>218</v>
      </c>
      <c r="B32" s="71"/>
      <c r="C32" s="71"/>
      <c r="D32" s="71">
        <v>10</v>
      </c>
      <c r="F32" s="82"/>
      <c r="G32" s="38"/>
      <c r="H32" s="39"/>
      <c r="I32" s="38"/>
      <c r="J32" s="39"/>
      <c r="K32" s="38"/>
      <c r="L32" s="39"/>
    </row>
    <row r="33" spans="1:12" x14ac:dyDescent="0.25">
      <c r="A33" s="72"/>
      <c r="B33" s="72" t="s">
        <v>219</v>
      </c>
      <c r="C33" s="72" t="s">
        <v>220</v>
      </c>
      <c r="D33" s="72" t="s">
        <v>221</v>
      </c>
      <c r="F33" s="83"/>
      <c r="G33" s="99"/>
      <c r="H33" s="100"/>
      <c r="I33" s="99"/>
      <c r="J33" s="100"/>
      <c r="K33" s="99"/>
      <c r="L33" s="100"/>
    </row>
    <row r="34" spans="1:12" x14ac:dyDescent="0.25">
      <c r="A34" s="73" t="s">
        <v>222</v>
      </c>
      <c r="B34" s="73" t="s">
        <v>223</v>
      </c>
      <c r="C34" s="74" t="s">
        <v>223</v>
      </c>
      <c r="D34" s="74"/>
      <c r="F34" s="83" t="s">
        <v>26</v>
      </c>
      <c r="G34" s="36"/>
      <c r="H34" s="37"/>
      <c r="I34" s="36"/>
      <c r="J34" s="37"/>
      <c r="K34" s="36"/>
      <c r="L34" s="37"/>
    </row>
    <row r="35" spans="1:12" x14ac:dyDescent="0.25">
      <c r="A35" s="217">
        <f>VLOOKUP(F35,'Benchmark Unit Rates'!E:I,3,FALSE)</f>
        <v>63.921999999999997</v>
      </c>
      <c r="B35" s="73"/>
      <c r="C35" s="74">
        <f>D32*I18</f>
        <v>20000</v>
      </c>
      <c r="D35" s="74">
        <f>D32*K18</f>
        <v>100000</v>
      </c>
      <c r="F35" s="84" t="s">
        <v>192</v>
      </c>
      <c r="G35" s="32"/>
      <c r="H35" s="45"/>
      <c r="I35" s="40">
        <f t="shared" ref="I35" si="0">C35*A35</f>
        <v>1278440</v>
      </c>
      <c r="J35" s="33"/>
      <c r="K35" s="40">
        <f t="shared" ref="K35" si="1">D35*A35</f>
        <v>6392200</v>
      </c>
      <c r="L35" s="41"/>
    </row>
    <row r="36" spans="1:12" x14ac:dyDescent="0.25">
      <c r="A36" s="217">
        <f>VLOOKUP(F36,'Benchmark Unit Rates'!E:I,3,FALSE)</f>
        <v>63.921999999999997</v>
      </c>
      <c r="B36" s="76"/>
      <c r="C36" s="77"/>
      <c r="D36" s="77"/>
      <c r="F36" s="84" t="s">
        <v>55</v>
      </c>
      <c r="G36" s="32"/>
      <c r="H36" s="45"/>
      <c r="I36" s="40"/>
      <c r="J36" s="33"/>
      <c r="K36" s="40"/>
      <c r="L36" s="41"/>
    </row>
    <row r="37" spans="1:12" x14ac:dyDescent="0.25">
      <c r="A37" s="217">
        <f>VLOOKUP(F37,'Benchmark Unit Rates'!E:I,3,FALSE)</f>
        <v>82.47999999999999</v>
      </c>
      <c r="B37" s="76">
        <f>D32*2*32</f>
        <v>640</v>
      </c>
      <c r="C37" s="77"/>
      <c r="D37" s="77"/>
      <c r="F37" s="84" t="s">
        <v>56</v>
      </c>
      <c r="G37" s="32">
        <f>B37*A37</f>
        <v>52787.199999999997</v>
      </c>
      <c r="H37" s="45"/>
      <c r="I37" s="40"/>
      <c r="J37" s="33"/>
      <c r="K37" s="40"/>
      <c r="L37" s="41"/>
    </row>
    <row r="38" spans="1:12" x14ac:dyDescent="0.25">
      <c r="A38" s="217">
        <f>VLOOKUP(F38,'Benchmark Unit Rates'!E:I,3,FALSE)</f>
        <v>141.24699999999999</v>
      </c>
      <c r="B38" s="76"/>
      <c r="C38" s="77"/>
      <c r="D38" s="77"/>
      <c r="F38" s="84" t="s">
        <v>284</v>
      </c>
      <c r="G38" s="32"/>
      <c r="H38" s="45"/>
      <c r="I38" s="40"/>
      <c r="J38" s="33"/>
      <c r="K38" s="40"/>
      <c r="L38" s="41"/>
    </row>
    <row r="39" spans="1:12" x14ac:dyDescent="0.25">
      <c r="A39" s="217">
        <f>VLOOKUP(F39,'Benchmark Unit Rates'!E:I,3,FALSE)</f>
        <v>207.23099999999999</v>
      </c>
      <c r="B39" s="76">
        <f>D32*32+780</f>
        <v>1100</v>
      </c>
      <c r="C39" s="77"/>
      <c r="D39" s="77"/>
      <c r="F39" s="84" t="s">
        <v>285</v>
      </c>
      <c r="G39" s="32">
        <f t="shared" ref="G39:G41" si="2">B39*A39</f>
        <v>227954.1</v>
      </c>
      <c r="H39" s="45"/>
      <c r="I39" s="40"/>
      <c r="J39" s="33"/>
      <c r="K39" s="40"/>
      <c r="L39" s="41"/>
    </row>
    <row r="40" spans="1:12" x14ac:dyDescent="0.25">
      <c r="A40" s="217">
        <f>VLOOKUP(F40,'Benchmark Unit Rates'!E:I,3,FALSE)</f>
        <v>279.40099999999995</v>
      </c>
      <c r="B40" s="76"/>
      <c r="C40" s="77"/>
      <c r="D40" s="77"/>
      <c r="F40" s="84" t="s">
        <v>286</v>
      </c>
      <c r="G40" s="32"/>
      <c r="H40" s="45"/>
      <c r="I40" s="40"/>
      <c r="J40" s="33"/>
      <c r="K40" s="40"/>
      <c r="L40" s="41"/>
    </row>
    <row r="41" spans="1:12" x14ac:dyDescent="0.25">
      <c r="A41" s="217">
        <f>VLOOKUP(F41,'Benchmark Unit Rates'!E:I,3,FALSE)</f>
        <v>362.91199999999998</v>
      </c>
      <c r="B41" s="76">
        <v>1420</v>
      </c>
      <c r="C41" s="77"/>
      <c r="D41" s="77"/>
      <c r="F41" s="84" t="s">
        <v>287</v>
      </c>
      <c r="G41" s="32">
        <f t="shared" si="2"/>
        <v>515335.04</v>
      </c>
      <c r="H41" s="45"/>
      <c r="I41" s="40"/>
      <c r="J41" s="33"/>
      <c r="K41" s="40"/>
      <c r="L41" s="41"/>
    </row>
    <row r="42" spans="1:12" x14ac:dyDescent="0.25">
      <c r="A42" s="217">
        <f>VLOOKUP(F42,'Benchmark Unit Rates'!E:I,3,FALSE)</f>
        <v>476.32199999999995</v>
      </c>
      <c r="B42" s="76"/>
      <c r="C42" s="77"/>
      <c r="D42" s="77"/>
      <c r="F42" s="84" t="s">
        <v>61</v>
      </c>
      <c r="G42" s="32"/>
      <c r="H42" s="45"/>
      <c r="I42" s="40"/>
      <c r="J42" s="33"/>
      <c r="K42" s="40"/>
      <c r="L42" s="41"/>
    </row>
    <row r="43" spans="1:12" x14ac:dyDescent="0.25">
      <c r="A43" s="217">
        <f>VLOOKUP(F43,'Benchmark Unit Rates'!E:I,3,FALSE)</f>
        <v>610.35199999999998</v>
      </c>
      <c r="B43" s="76"/>
      <c r="C43" s="77"/>
      <c r="D43" s="77"/>
      <c r="F43" s="84" t="s">
        <v>62</v>
      </c>
      <c r="G43" s="32"/>
      <c r="H43" s="45"/>
      <c r="I43" s="40"/>
      <c r="J43" s="33"/>
      <c r="K43" s="40"/>
      <c r="L43" s="41"/>
    </row>
    <row r="44" spans="1:12" x14ac:dyDescent="0.25">
      <c r="A44" s="217">
        <f>VLOOKUP(F44,'Benchmark Unit Rates'!E:I,3,FALSE)</f>
        <v>85.572999999999993</v>
      </c>
      <c r="B44" s="76"/>
      <c r="C44" s="77">
        <v>20400</v>
      </c>
      <c r="D44" s="77">
        <v>95200</v>
      </c>
      <c r="F44" s="84" t="s">
        <v>293</v>
      </c>
      <c r="G44" s="32"/>
      <c r="H44" s="45"/>
      <c r="I44" s="40">
        <f t="shared" ref="I44:I47" si="3">C44*A44</f>
        <v>1745689.2</v>
      </c>
      <c r="J44" s="33"/>
      <c r="K44" s="40">
        <f t="shared" ref="K44" si="4">D44*A44</f>
        <v>8146549.5999999996</v>
      </c>
      <c r="L44" s="41"/>
    </row>
    <row r="45" spans="1:12" x14ac:dyDescent="0.25">
      <c r="A45" s="217">
        <f>VLOOKUP(F45,'Benchmark Unit Rates'!E:I,3,FALSE)</f>
        <v>193.82799999999997</v>
      </c>
      <c r="B45" s="76"/>
      <c r="C45" s="77"/>
      <c r="D45" s="77"/>
      <c r="F45" s="84" t="s">
        <v>64</v>
      </c>
      <c r="G45" s="32"/>
      <c r="H45" s="45"/>
      <c r="I45" s="40"/>
      <c r="J45" s="33"/>
      <c r="K45" s="40"/>
      <c r="L45" s="41"/>
    </row>
    <row r="46" spans="1:12" x14ac:dyDescent="0.25">
      <c r="A46" s="217">
        <f>VLOOKUP(F46,'Benchmark Unit Rates'!E:I,3,FALSE)</f>
        <v>245.37799999999999</v>
      </c>
      <c r="B46" s="76"/>
      <c r="C46" s="77"/>
      <c r="D46" s="77"/>
      <c r="F46" s="84" t="s">
        <v>65</v>
      </c>
      <c r="G46" s="32"/>
      <c r="H46" s="45"/>
      <c r="I46" s="40"/>
      <c r="J46" s="33"/>
      <c r="K46" s="40"/>
      <c r="L46" s="41"/>
    </row>
    <row r="47" spans="1:12" x14ac:dyDescent="0.25">
      <c r="A47" s="217">
        <f>VLOOKUP(F47,'Benchmark Unit Rates'!E:I,3,FALSE)</f>
        <v>245.37799999999999</v>
      </c>
      <c r="B47" s="76"/>
      <c r="C47" s="77">
        <v>13440</v>
      </c>
      <c r="D47" s="77"/>
      <c r="F47" s="84" t="s">
        <v>296</v>
      </c>
      <c r="G47" s="32"/>
      <c r="H47" s="45"/>
      <c r="I47" s="40">
        <f t="shared" si="3"/>
        <v>3297880.32</v>
      </c>
      <c r="J47" s="33"/>
      <c r="K47" s="40"/>
      <c r="L47" s="41"/>
    </row>
    <row r="48" spans="1:12" x14ac:dyDescent="0.25">
      <c r="A48" s="217">
        <f>VLOOKUP(F48,'Benchmark Unit Rates'!E:I,3,FALSE)</f>
        <v>338.16799999999995</v>
      </c>
      <c r="B48" s="76"/>
      <c r="C48" s="77"/>
      <c r="D48" s="77"/>
      <c r="F48" s="84" t="s">
        <v>67</v>
      </c>
      <c r="G48" s="32"/>
      <c r="H48" s="45"/>
      <c r="I48" s="40"/>
      <c r="J48" s="33"/>
      <c r="K48" s="40"/>
      <c r="L48" s="41"/>
    </row>
    <row r="49" spans="1:12" x14ac:dyDescent="0.25">
      <c r="A49" s="217">
        <f>VLOOKUP(F49,'Benchmark Unit Rates'!E:I,3,FALSE)</f>
        <v>430.95799999999997</v>
      </c>
      <c r="B49" s="76"/>
      <c r="C49" s="77"/>
      <c r="D49" s="77"/>
      <c r="F49" s="84" t="s">
        <v>68</v>
      </c>
      <c r="G49" s="32"/>
      <c r="H49" s="45"/>
      <c r="I49" s="40"/>
      <c r="J49" s="33"/>
      <c r="K49" s="40"/>
      <c r="L49" s="41"/>
    </row>
    <row r="50" spans="1:12" x14ac:dyDescent="0.25">
      <c r="A50" s="217">
        <f>VLOOKUP(F50,'Benchmark Unit Rates'!E:I,3,FALSE)</f>
        <v>513.43799999999999</v>
      </c>
      <c r="B50" s="76"/>
      <c r="C50" s="77"/>
      <c r="D50" s="77">
        <v>8960</v>
      </c>
      <c r="F50" s="84" t="s">
        <v>150</v>
      </c>
      <c r="G50" s="32"/>
      <c r="H50" s="45"/>
      <c r="I50" s="40"/>
      <c r="J50" s="33"/>
      <c r="K50" s="40">
        <f t="shared" ref="K50" si="5">D50*A50</f>
        <v>4600404.4799999995</v>
      </c>
      <c r="L50" s="41"/>
    </row>
    <row r="51" spans="1:12" x14ac:dyDescent="0.25">
      <c r="A51" s="217">
        <f>VLOOKUP(F51,'Benchmark Unit Rates'!E:I,3,FALSE)</f>
        <v>265.99799999999999</v>
      </c>
      <c r="B51" s="76"/>
      <c r="C51" s="77"/>
      <c r="D51" s="77"/>
      <c r="F51" s="84" t="s">
        <v>69</v>
      </c>
      <c r="G51" s="32"/>
      <c r="H51" s="45"/>
      <c r="I51" s="40"/>
      <c r="J51" s="33"/>
      <c r="K51" s="40"/>
      <c r="L51" s="41"/>
    </row>
    <row r="52" spans="1:12" x14ac:dyDescent="0.25">
      <c r="A52" s="217">
        <f>VLOOKUP(F52,'Benchmark Unit Rates'!E:I,3,FALSE)</f>
        <v>323.73399999999998</v>
      </c>
      <c r="B52" s="76">
        <f>D32*32</f>
        <v>320</v>
      </c>
      <c r="C52" s="77"/>
      <c r="D52" s="77"/>
      <c r="F52" s="84" t="s">
        <v>70</v>
      </c>
      <c r="G52" s="32"/>
      <c r="H52" s="45">
        <f>B52*A52</f>
        <v>103594.87999999999</v>
      </c>
      <c r="I52" s="40"/>
      <c r="J52" s="33"/>
      <c r="K52" s="40"/>
      <c r="L52" s="41"/>
    </row>
    <row r="53" spans="1:12" x14ac:dyDescent="0.25">
      <c r="A53" s="217">
        <f>VLOOKUP(F53,'Benchmark Unit Rates'!E:I,3,FALSE)</f>
        <v>429.92699999999996</v>
      </c>
      <c r="B53" s="76">
        <v>1300</v>
      </c>
      <c r="C53" s="77"/>
      <c r="D53" s="77"/>
      <c r="F53" s="84" t="s">
        <v>71</v>
      </c>
      <c r="G53" s="32"/>
      <c r="H53" s="45">
        <f>B53*A53</f>
        <v>558905.1</v>
      </c>
      <c r="I53" s="40"/>
      <c r="J53" s="33"/>
      <c r="K53" s="40"/>
      <c r="L53" s="41"/>
    </row>
    <row r="54" spans="1:12" x14ac:dyDescent="0.25">
      <c r="A54" s="217">
        <f>VLOOKUP(F54,'Benchmark Unit Rates'!E:I,3,FALSE)</f>
        <v>566.01900000000001</v>
      </c>
      <c r="B54" s="76"/>
      <c r="C54" s="77"/>
      <c r="D54" s="77"/>
      <c r="F54" s="84" t="s">
        <v>72</v>
      </c>
      <c r="G54" s="32"/>
      <c r="H54" s="45"/>
      <c r="I54" s="40"/>
      <c r="J54" s="33"/>
      <c r="K54" s="40"/>
      <c r="L54" s="41"/>
    </row>
    <row r="55" spans="1:12" x14ac:dyDescent="0.25">
      <c r="A55" s="217">
        <f>VLOOKUP(F55,'Benchmark Unit Rates'!E:I,3,FALSE)</f>
        <v>737.16499999999996</v>
      </c>
      <c r="B55" s="76">
        <v>300</v>
      </c>
      <c r="C55" s="77"/>
      <c r="D55" s="77"/>
      <c r="F55" s="84" t="s">
        <v>73</v>
      </c>
      <c r="G55" s="32"/>
      <c r="H55" s="45">
        <f>B55*A55</f>
        <v>221149.5</v>
      </c>
      <c r="I55" s="40"/>
      <c r="J55" s="33"/>
      <c r="K55" s="40"/>
      <c r="L55" s="41"/>
    </row>
    <row r="56" spans="1:12" x14ac:dyDescent="0.25">
      <c r="A56" s="217">
        <f>VLOOKUP(F56,'Benchmark Unit Rates'!E:I,3,FALSE)</f>
        <v>900.06299999999987</v>
      </c>
      <c r="B56" s="76"/>
      <c r="C56" s="77"/>
      <c r="D56" s="77"/>
      <c r="F56" s="84" t="s">
        <v>74</v>
      </c>
      <c r="G56" s="32"/>
      <c r="H56" s="45"/>
      <c r="I56" s="40"/>
      <c r="J56" s="33"/>
      <c r="K56" s="40"/>
      <c r="L56" s="41"/>
    </row>
    <row r="57" spans="1:12" x14ac:dyDescent="0.25">
      <c r="A57" s="217">
        <f>VLOOKUP(F57,'Benchmark Unit Rates'!E:I,3,FALSE)</f>
        <v>1037.1859999999999</v>
      </c>
      <c r="B57" s="76"/>
      <c r="C57" s="77"/>
      <c r="D57" s="77"/>
      <c r="F57" s="84" t="s">
        <v>75</v>
      </c>
      <c r="G57" s="32"/>
      <c r="H57" s="45"/>
      <c r="I57" s="40"/>
      <c r="J57" s="33"/>
      <c r="K57" s="40"/>
      <c r="L57" s="41"/>
    </row>
    <row r="58" spans="1:12" x14ac:dyDescent="0.25">
      <c r="A58" s="217">
        <f>VLOOKUP(F58,'Benchmark Unit Rates'!E:I,3,FALSE)</f>
        <v>1310.4009999999998</v>
      </c>
      <c r="B58" s="76"/>
      <c r="C58" s="77"/>
      <c r="D58" s="77"/>
      <c r="F58" s="84" t="s">
        <v>76</v>
      </c>
      <c r="G58" s="32"/>
      <c r="H58" s="45"/>
      <c r="I58" s="40"/>
      <c r="J58" s="33"/>
      <c r="K58" s="40"/>
      <c r="L58" s="41"/>
    </row>
    <row r="59" spans="1:12" x14ac:dyDescent="0.25">
      <c r="A59" s="217">
        <f>VLOOKUP(F59,'Benchmark Unit Rates'!E:I,3,FALSE)</f>
        <v>210.32399999999998</v>
      </c>
      <c r="B59" s="76"/>
      <c r="C59" s="77">
        <f>D32*J18</f>
        <v>20000</v>
      </c>
      <c r="D59" s="77">
        <f>D32*L18</f>
        <v>100000</v>
      </c>
      <c r="F59" s="84" t="s">
        <v>79</v>
      </c>
      <c r="G59" s="32"/>
      <c r="H59" s="45"/>
      <c r="I59" s="32"/>
      <c r="J59" s="41">
        <f>C59*A59</f>
        <v>4206480</v>
      </c>
      <c r="K59" s="40"/>
      <c r="L59" s="41">
        <f t="shared" ref="L59:L66" si="6">D59*A59</f>
        <v>21032400</v>
      </c>
    </row>
    <row r="60" spans="1:12" x14ac:dyDescent="0.25">
      <c r="A60" s="217">
        <f>VLOOKUP(F60,'Benchmark Unit Rates'!E:I,3,FALSE)</f>
        <v>248.47099999999998</v>
      </c>
      <c r="B60" s="76"/>
      <c r="C60" s="77"/>
      <c r="D60" s="77"/>
      <c r="F60" s="84" t="s">
        <v>80</v>
      </c>
      <c r="G60" s="32"/>
      <c r="H60" s="45"/>
      <c r="I60" s="32"/>
      <c r="J60" s="41"/>
      <c r="K60" s="40"/>
      <c r="L60" s="41"/>
    </row>
    <row r="61" spans="1:12" x14ac:dyDescent="0.25">
      <c r="A61" s="217">
        <f>VLOOKUP(F61,'Benchmark Unit Rates'!E:I,3,FALSE)</f>
        <v>312.39299999999997</v>
      </c>
      <c r="B61" s="76"/>
      <c r="C61" s="77">
        <v>28560</v>
      </c>
      <c r="D61" s="77">
        <v>133280</v>
      </c>
      <c r="F61" s="84" t="s">
        <v>81</v>
      </c>
      <c r="G61" s="32"/>
      <c r="H61" s="45"/>
      <c r="I61" s="32"/>
      <c r="J61" s="41">
        <f t="shared" ref="J61:J70" si="7">C61*A61</f>
        <v>8921944.0800000001</v>
      </c>
      <c r="K61" s="40"/>
      <c r="L61" s="41">
        <f t="shared" si="6"/>
        <v>41635739.039999999</v>
      </c>
    </row>
    <row r="62" spans="1:12" x14ac:dyDescent="0.25">
      <c r="A62" s="217">
        <f>VLOOKUP(F62,'Benchmark Unit Rates'!E:I,3,FALSE)</f>
        <v>427.86499999999995</v>
      </c>
      <c r="B62" s="76"/>
      <c r="C62" s="77"/>
      <c r="D62" s="77"/>
      <c r="F62" s="84" t="s">
        <v>82</v>
      </c>
      <c r="G62" s="32"/>
      <c r="H62" s="45"/>
      <c r="I62" s="32"/>
      <c r="J62" s="41"/>
      <c r="K62" s="40"/>
      <c r="L62" s="41"/>
    </row>
    <row r="63" spans="1:12" x14ac:dyDescent="0.25">
      <c r="A63" s="217">
        <f>VLOOKUP(F63,'Benchmark Unit Rates'!E:I,3,FALSE)</f>
        <v>557.77099999999996</v>
      </c>
      <c r="B63" s="76"/>
      <c r="C63" s="77">
        <v>8040</v>
      </c>
      <c r="D63" s="77">
        <v>17920</v>
      </c>
      <c r="F63" s="84" t="s">
        <v>83</v>
      </c>
      <c r="G63" s="32"/>
      <c r="H63" s="45"/>
      <c r="I63" s="32"/>
      <c r="J63" s="41">
        <f t="shared" si="7"/>
        <v>4484478.84</v>
      </c>
      <c r="K63" s="40"/>
      <c r="L63" s="41">
        <f t="shared" ref="L63" si="8">D63*A63</f>
        <v>9995256.3199999984</v>
      </c>
    </row>
    <row r="64" spans="1:12" x14ac:dyDescent="0.25">
      <c r="A64" s="217">
        <f>VLOOKUP(F64,'Benchmark Unit Rates'!E:I,3,FALSE)</f>
        <v>678.39799999999991</v>
      </c>
      <c r="B64" s="76"/>
      <c r="C64" s="77"/>
      <c r="D64" s="77"/>
      <c r="F64" s="84" t="s">
        <v>84</v>
      </c>
      <c r="G64" s="32"/>
      <c r="H64" s="45"/>
      <c r="I64" s="32"/>
      <c r="J64" s="41"/>
      <c r="K64" s="40"/>
      <c r="L64" s="41"/>
    </row>
    <row r="65" spans="1:12" x14ac:dyDescent="0.25">
      <c r="A65" s="217">
        <f>VLOOKUP(F65,'Benchmark Unit Rates'!E:I,3,FALSE)</f>
        <v>786.65299999999991</v>
      </c>
      <c r="B65" s="76"/>
      <c r="C65" s="77"/>
      <c r="D65" s="77"/>
      <c r="F65" s="84" t="s">
        <v>85</v>
      </c>
      <c r="G65" s="32"/>
      <c r="H65" s="45"/>
      <c r="I65" s="32"/>
      <c r="J65" s="41"/>
      <c r="K65" s="40"/>
      <c r="L65" s="41"/>
    </row>
    <row r="66" spans="1:12" x14ac:dyDescent="0.25">
      <c r="A66" s="217">
        <f>VLOOKUP(F66,'Benchmark Unit Rates'!E:I,3,FALSE)</f>
        <v>1018.6279999999999</v>
      </c>
      <c r="B66" s="78"/>
      <c r="C66" s="79"/>
      <c r="D66" s="79">
        <v>17920</v>
      </c>
      <c r="F66" s="85" t="s">
        <v>86</v>
      </c>
      <c r="G66" s="32"/>
      <c r="H66" s="45"/>
      <c r="I66" s="32"/>
      <c r="J66" s="41"/>
      <c r="K66" s="40"/>
      <c r="L66" s="41">
        <f t="shared" si="6"/>
        <v>18253813.759999998</v>
      </c>
    </row>
    <row r="67" spans="1:12" x14ac:dyDescent="0.25">
      <c r="A67" s="217">
        <f>VLOOKUP(F67,'Benchmark Unit Rates'!E:I,3,FALSE)</f>
        <v>106.193</v>
      </c>
      <c r="B67" s="76"/>
      <c r="C67" s="77"/>
      <c r="D67" s="77"/>
      <c r="F67" s="84" t="s">
        <v>87</v>
      </c>
      <c r="G67" s="32"/>
      <c r="H67" s="45"/>
      <c r="I67" s="32"/>
      <c r="J67" s="41"/>
      <c r="K67" s="40"/>
      <c r="L67" s="41"/>
    </row>
    <row r="68" spans="1:12" x14ac:dyDescent="0.25">
      <c r="A68" s="217">
        <f>VLOOKUP(F68,'Benchmark Unit Rates'!E:I,3,FALSE)</f>
        <v>106.193</v>
      </c>
      <c r="B68" s="76"/>
      <c r="C68" s="77"/>
      <c r="D68" s="77"/>
      <c r="F68" s="84" t="s">
        <v>87</v>
      </c>
      <c r="G68" s="32"/>
      <c r="H68" s="45"/>
      <c r="I68" s="32"/>
      <c r="J68" s="41"/>
      <c r="K68" s="40"/>
      <c r="L68" s="41"/>
    </row>
    <row r="69" spans="1:12" x14ac:dyDescent="0.25">
      <c r="A69" s="217">
        <f>VLOOKUP(F69,'Benchmark Unit Rates'!E:I,3,FALSE)</f>
        <v>152.58799999999999</v>
      </c>
      <c r="B69" s="76"/>
      <c r="C69" s="77"/>
      <c r="D69" s="77"/>
      <c r="F69" s="84" t="s">
        <v>88</v>
      </c>
      <c r="G69" s="32"/>
      <c r="H69" s="45"/>
      <c r="I69" s="32"/>
      <c r="J69" s="41"/>
      <c r="K69" s="40"/>
      <c r="L69" s="41"/>
    </row>
    <row r="70" spans="1:12" x14ac:dyDescent="0.25">
      <c r="A70" s="217">
        <f>VLOOKUP(F70,'Benchmark Unit Rates'!E:I,3,FALSE)</f>
        <v>183.51799999999997</v>
      </c>
      <c r="B70" s="76"/>
      <c r="C70" s="77">
        <v>1000</v>
      </c>
      <c r="D70" s="77">
        <v>3000</v>
      </c>
      <c r="F70" s="84" t="s">
        <v>89</v>
      </c>
      <c r="G70" s="32"/>
      <c r="H70" s="45"/>
      <c r="I70" s="32"/>
      <c r="J70" s="41">
        <f t="shared" si="7"/>
        <v>183517.99999999997</v>
      </c>
      <c r="K70" s="40"/>
      <c r="L70" s="41">
        <f t="shared" ref="L70" si="9">D70*A70</f>
        <v>550553.99999999988</v>
      </c>
    </row>
    <row r="71" spans="1:12" x14ac:dyDescent="0.25">
      <c r="A71" s="217">
        <f>VLOOKUP(F71,'Benchmark Unit Rates'!E:I,3,FALSE)</f>
        <v>229.91299999999998</v>
      </c>
      <c r="B71" s="76"/>
      <c r="C71" s="77"/>
      <c r="D71" s="77"/>
      <c r="F71" s="84" t="s">
        <v>90</v>
      </c>
      <c r="G71" s="32"/>
      <c r="H71" s="45"/>
      <c r="I71" s="32"/>
      <c r="J71" s="41"/>
      <c r="K71" s="40"/>
      <c r="L71" s="41"/>
    </row>
    <row r="72" spans="1:12" x14ac:dyDescent="0.25">
      <c r="A72" s="75"/>
      <c r="B72" s="76"/>
      <c r="C72" s="77"/>
      <c r="D72" s="77"/>
      <c r="F72" s="84" t="s">
        <v>101</v>
      </c>
      <c r="G72" s="32"/>
      <c r="H72" s="45"/>
      <c r="I72" s="32"/>
      <c r="J72" s="33"/>
      <c r="K72" s="32"/>
      <c r="L72" s="41"/>
    </row>
    <row r="73" spans="1:12" x14ac:dyDescent="0.25">
      <c r="A73" s="75"/>
      <c r="B73" s="76"/>
      <c r="C73" s="77"/>
      <c r="D73" s="77"/>
      <c r="F73" s="84" t="s">
        <v>102</v>
      </c>
      <c r="G73" s="32"/>
      <c r="H73" s="45"/>
      <c r="I73" s="32"/>
      <c r="J73" s="33"/>
      <c r="K73" s="32"/>
      <c r="L73" s="41"/>
    </row>
    <row r="74" spans="1:12" x14ac:dyDescent="0.25">
      <c r="A74" s="76"/>
      <c r="B74" s="76"/>
      <c r="C74" s="77"/>
      <c r="D74" s="77"/>
      <c r="F74" s="84" t="s">
        <v>27</v>
      </c>
      <c r="G74" s="42">
        <f>SUM(B35:B50)</f>
        <v>3160</v>
      </c>
      <c r="H74" s="46">
        <f>SUM(B51:B58)</f>
        <v>1920</v>
      </c>
      <c r="I74" s="42">
        <f>SUM(C35:C49)</f>
        <v>53840</v>
      </c>
      <c r="J74" s="43">
        <f>SUM(C59:C71)</f>
        <v>57600</v>
      </c>
      <c r="K74" s="42">
        <f>SUM(D35:D50)</f>
        <v>204160</v>
      </c>
      <c r="L74" s="43">
        <f>SUM(D52:D73)</f>
        <v>272120</v>
      </c>
    </row>
    <row r="75" spans="1:12" x14ac:dyDescent="0.25">
      <c r="A75" s="76"/>
      <c r="B75" s="76"/>
      <c r="C75" s="77"/>
      <c r="D75" s="77"/>
      <c r="F75" s="84" t="s">
        <v>166</v>
      </c>
      <c r="G75" s="32">
        <f t="shared" ref="G75:L75" si="10">SUM(G35:G73)</f>
        <v>796076.34</v>
      </c>
      <c r="H75" s="47">
        <f t="shared" si="10"/>
        <v>883649.48</v>
      </c>
      <c r="I75" s="40">
        <f t="shared" si="10"/>
        <v>6322009.5199999996</v>
      </c>
      <c r="J75" s="41">
        <f t="shared" si="10"/>
        <v>17796420.920000002</v>
      </c>
      <c r="K75" s="40">
        <f t="shared" si="10"/>
        <v>19139154.079999998</v>
      </c>
      <c r="L75" s="41">
        <f t="shared" si="10"/>
        <v>91467763.120000005</v>
      </c>
    </row>
    <row r="76" spans="1:12" ht="30" x14ac:dyDescent="0.25">
      <c r="A76" s="76"/>
      <c r="B76" s="76"/>
      <c r="C76" s="77"/>
      <c r="D76" s="77"/>
      <c r="F76" s="84" t="s">
        <v>25</v>
      </c>
      <c r="G76" s="10" t="s">
        <v>111</v>
      </c>
      <c r="H76" s="11" t="s">
        <v>112</v>
      </c>
      <c r="I76" s="10" t="s">
        <v>111</v>
      </c>
      <c r="J76" s="11" t="s">
        <v>112</v>
      </c>
      <c r="K76" s="10" t="s">
        <v>111</v>
      </c>
      <c r="L76" s="11" t="s">
        <v>112</v>
      </c>
    </row>
    <row r="77" spans="1:12" x14ac:dyDescent="0.25">
      <c r="A77" s="76"/>
      <c r="B77" s="76"/>
      <c r="C77" s="77"/>
      <c r="D77" s="77"/>
      <c r="F77" s="85" t="s">
        <v>310</v>
      </c>
      <c r="G77" s="40">
        <f>G74*'Operating Cost Summary'!$E$13</f>
        <v>1643.2</v>
      </c>
      <c r="H77" s="41">
        <f>H74*'Operating Cost Summary'!$E$23</f>
        <v>1459.2</v>
      </c>
      <c r="I77" s="102">
        <f>I74*'Operating Cost Summary'!E13</f>
        <v>27996.799999999999</v>
      </c>
      <c r="J77" s="41">
        <f>'Operating Cost Summary'!$E$23*SUM(C$51:C$66)+'Operating Cost Summary'!$E$27*C$70</f>
        <v>43536</v>
      </c>
      <c r="K77" s="102">
        <f>K74*'Operating Cost Summary'!E13</f>
        <v>106163.2</v>
      </c>
      <c r="L77" s="41">
        <f>'Operating Cost Summary'!$E$23*SUM(D$51:D$66)+'Operating Cost Summary'!$E$27*D$70</f>
        <v>206091.2</v>
      </c>
    </row>
    <row r="78" spans="1:12" ht="30" x14ac:dyDescent="0.25">
      <c r="A78" s="76"/>
      <c r="B78" s="76"/>
      <c r="C78" s="77"/>
      <c r="D78" s="77"/>
      <c r="F78" s="111" t="s">
        <v>318</v>
      </c>
      <c r="G78" s="110">
        <f>G74*'Operating Cost Summary'!$C$13</f>
        <v>628786.27999999991</v>
      </c>
      <c r="H78" s="41">
        <f>H74*'Operating Cost Summary'!$C$23</f>
        <v>455289.59999999992</v>
      </c>
      <c r="I78" s="110">
        <f>I74*'Operating Cost Summary'!$C$13</f>
        <v>10713244.719999999</v>
      </c>
      <c r="J78" s="41">
        <f>'Operating Cost Summary'!$C$23*SUM(C$51:C$66)+'Operating Cost Summary'!$C$27*C$70</f>
        <v>13634974.999999998</v>
      </c>
      <c r="K78" s="102">
        <f>K74*'Operating Cost Summary'!$C$13</f>
        <v>40624369.279999994</v>
      </c>
      <c r="L78" s="41">
        <f>'Operating Cost Summary'!$C$23*SUM(D$51:D$66)+'Operating Cost Summary'!$C$27*D$70</f>
        <v>64456676.599999994</v>
      </c>
    </row>
    <row r="79" spans="1:12" x14ac:dyDescent="0.25">
      <c r="A79" s="76"/>
      <c r="B79" s="76"/>
      <c r="C79" s="77"/>
      <c r="D79" s="77"/>
      <c r="F79" s="84"/>
      <c r="G79" s="86"/>
      <c r="H79" s="87"/>
      <c r="I79" s="86"/>
      <c r="J79" s="87"/>
      <c r="K79" s="86"/>
      <c r="L79" s="87"/>
    </row>
    <row r="80" spans="1:12" x14ac:dyDescent="0.25">
      <c r="A80" s="77"/>
      <c r="B80" s="77"/>
      <c r="C80" s="77"/>
      <c r="D80" s="77"/>
      <c r="F80" s="88" t="s">
        <v>386</v>
      </c>
      <c r="G80" s="20"/>
      <c r="H80" s="21"/>
      <c r="I80" s="20"/>
      <c r="J80" s="21"/>
      <c r="K80" s="20"/>
      <c r="L80" s="21"/>
    </row>
    <row r="81" spans="1:12" x14ac:dyDescent="0.25">
      <c r="A81" s="77"/>
      <c r="B81" s="77"/>
      <c r="C81" s="77"/>
      <c r="D81" s="77"/>
      <c r="F81" s="84" t="s">
        <v>91</v>
      </c>
      <c r="G81" s="13"/>
      <c r="H81" s="12"/>
      <c r="I81" s="13"/>
      <c r="J81" s="12"/>
      <c r="K81" s="13"/>
      <c r="L81" s="12"/>
    </row>
    <row r="82" spans="1:12" x14ac:dyDescent="0.25">
      <c r="A82" s="76">
        <f>CEILING(VLOOKUP(F82,'Benchmark Unit Rates'!E:H,3,FALSE),10)</f>
        <v>433020</v>
      </c>
      <c r="B82" s="77"/>
      <c r="C82" s="77"/>
      <c r="D82" s="77"/>
      <c r="F82" s="84" t="s">
        <v>92</v>
      </c>
      <c r="G82" s="13"/>
      <c r="H82" s="24"/>
      <c r="I82" s="13"/>
      <c r="J82" s="25"/>
      <c r="K82" s="13"/>
      <c r="L82" s="12"/>
    </row>
    <row r="83" spans="1:12" x14ac:dyDescent="0.25">
      <c r="A83" s="76">
        <f>CEILING(VLOOKUP(F83,'Benchmark Unit Rates'!E:H,3,FALSE),10)</f>
        <v>546430</v>
      </c>
      <c r="B83" s="77"/>
      <c r="C83" s="77"/>
      <c r="D83" s="77"/>
      <c r="F83" s="84" t="s">
        <v>93</v>
      </c>
      <c r="G83" s="13"/>
      <c r="H83" s="12"/>
      <c r="I83" s="40"/>
      <c r="J83" s="41"/>
      <c r="K83" s="40"/>
      <c r="L83" s="41"/>
    </row>
    <row r="84" spans="1:12" x14ac:dyDescent="0.25">
      <c r="A84" s="76">
        <f>CEILING(VLOOKUP(F84,'Benchmark Unit Rates'!E:H,3,FALSE),10)</f>
        <v>649530</v>
      </c>
      <c r="B84" s="77"/>
      <c r="C84" s="77"/>
      <c r="D84" s="77"/>
      <c r="F84" s="84" t="s">
        <v>94</v>
      </c>
      <c r="G84" s="13"/>
      <c r="H84" s="12"/>
      <c r="I84" s="40"/>
      <c r="J84" s="41"/>
      <c r="K84" s="40"/>
      <c r="L84" s="41"/>
    </row>
    <row r="85" spans="1:12" x14ac:dyDescent="0.25">
      <c r="A85" s="76">
        <f>CEILING(VLOOKUP(F85,'Benchmark Unit Rates'!E:H,3,FALSE),10)</f>
        <v>742320</v>
      </c>
      <c r="B85" s="77"/>
      <c r="C85" s="77"/>
      <c r="D85" s="77"/>
      <c r="F85" s="84" t="s">
        <v>95</v>
      </c>
      <c r="G85" s="13"/>
      <c r="H85" s="12"/>
      <c r="I85" s="40"/>
      <c r="J85" s="41"/>
      <c r="K85" s="40"/>
      <c r="L85" s="41"/>
    </row>
    <row r="86" spans="1:12" x14ac:dyDescent="0.25">
      <c r="A86" s="76">
        <f>CEILING(VLOOKUP(F86,'Benchmark Unit Rates'!E:H,3,FALSE),10)</f>
        <v>824800</v>
      </c>
      <c r="B86" s="77"/>
      <c r="C86" s="77"/>
      <c r="D86" s="77"/>
      <c r="F86" s="84" t="s">
        <v>99</v>
      </c>
      <c r="G86" s="13"/>
      <c r="H86" s="12"/>
      <c r="I86" s="40"/>
      <c r="J86" s="41"/>
      <c r="K86" s="40"/>
      <c r="L86" s="41"/>
    </row>
    <row r="87" spans="1:12" x14ac:dyDescent="0.25">
      <c r="A87" s="76">
        <f>CEILING(VLOOKUP(F87,'Benchmark Unit Rates'!E:H,3,FALSE),10)</f>
        <v>979450</v>
      </c>
      <c r="B87" s="77"/>
      <c r="C87" s="77">
        <v>1</v>
      </c>
      <c r="D87" s="77">
        <v>3</v>
      </c>
      <c r="F87" s="84" t="s">
        <v>100</v>
      </c>
      <c r="G87" s="13"/>
      <c r="H87" s="12"/>
      <c r="I87" s="40"/>
      <c r="J87" s="41">
        <f t="shared" ref="J87" si="11">C87*A87</f>
        <v>979450</v>
      </c>
      <c r="K87" s="40"/>
      <c r="L87" s="41">
        <f t="shared" ref="L87" si="12">D87*A87</f>
        <v>2938350</v>
      </c>
    </row>
    <row r="88" spans="1:12" x14ac:dyDescent="0.25">
      <c r="A88" s="76">
        <f>CEILING(VLOOKUP(F88,'Benchmark Unit Rates'!E:H,3,FALSE),10)</f>
        <v>1103170</v>
      </c>
      <c r="B88" s="77"/>
      <c r="C88" s="77"/>
      <c r="D88" s="77"/>
      <c r="F88" s="84" t="s">
        <v>151</v>
      </c>
      <c r="G88" s="13"/>
      <c r="H88" s="12"/>
      <c r="I88" s="40"/>
      <c r="J88" s="41"/>
      <c r="K88" s="40"/>
      <c r="L88" s="41"/>
    </row>
    <row r="89" spans="1:12" x14ac:dyDescent="0.25">
      <c r="A89" s="76">
        <f>CEILING(VLOOKUP(F89,'Benchmark Unit Rates'!E:H,3,FALSE),10)</f>
        <v>1340300</v>
      </c>
      <c r="B89" s="77"/>
      <c r="C89" s="77"/>
      <c r="D89" s="77"/>
      <c r="F89" s="84" t="s">
        <v>152</v>
      </c>
      <c r="G89" s="13"/>
      <c r="H89" s="12"/>
      <c r="I89" s="40"/>
      <c r="J89" s="41"/>
      <c r="K89" s="40"/>
      <c r="L89" s="41"/>
    </row>
    <row r="90" spans="1:12" x14ac:dyDescent="0.25">
      <c r="A90" s="76">
        <f>CEILING(VLOOKUP(F90,'Benchmark Unit Rates'!E:H,3,FALSE),10)</f>
        <v>1546500</v>
      </c>
      <c r="B90" s="77"/>
      <c r="C90" s="77"/>
      <c r="D90" s="77"/>
      <c r="F90" s="84" t="s">
        <v>153</v>
      </c>
      <c r="G90" s="13"/>
      <c r="H90" s="12"/>
      <c r="I90" s="40"/>
      <c r="J90" s="41"/>
      <c r="K90" s="40"/>
      <c r="L90" s="41"/>
    </row>
    <row r="91" spans="1:12" x14ac:dyDescent="0.25">
      <c r="A91" s="76">
        <f>CEILING(VLOOKUP(F91,'Benchmark Unit Rates'!E:H,3,FALSE),10)</f>
        <v>1649600</v>
      </c>
      <c r="B91" s="77"/>
      <c r="C91" s="77"/>
      <c r="D91" s="77"/>
      <c r="F91" s="84" t="s">
        <v>154</v>
      </c>
      <c r="G91" s="13"/>
      <c r="H91" s="12"/>
      <c r="I91" s="40"/>
      <c r="J91" s="41"/>
      <c r="K91" s="40"/>
      <c r="L91" s="41"/>
    </row>
    <row r="92" spans="1:12" x14ac:dyDescent="0.25">
      <c r="A92" s="76"/>
      <c r="B92" s="77"/>
      <c r="C92" s="77"/>
      <c r="D92" s="77"/>
      <c r="F92" s="84" t="s">
        <v>385</v>
      </c>
      <c r="G92" s="13"/>
      <c r="H92" s="12"/>
      <c r="I92" s="40"/>
      <c r="J92" s="41">
        <f>SUM(J81:J91)</f>
        <v>979450</v>
      </c>
      <c r="K92" s="40"/>
      <c r="L92" s="41">
        <f>SUM(L81:L91)</f>
        <v>2938350</v>
      </c>
    </row>
    <row r="93" spans="1:12" ht="75" x14ac:dyDescent="0.25">
      <c r="A93" s="76"/>
      <c r="B93" s="77"/>
      <c r="C93" s="77"/>
      <c r="D93" s="77"/>
      <c r="F93" s="84" t="s">
        <v>25</v>
      </c>
      <c r="G93" s="13"/>
      <c r="H93" s="12"/>
      <c r="I93" s="40"/>
      <c r="J93" s="11" t="s">
        <v>397</v>
      </c>
      <c r="K93" s="40"/>
      <c r="L93" s="11" t="s">
        <v>397</v>
      </c>
    </row>
    <row r="94" spans="1:12" x14ac:dyDescent="0.25">
      <c r="A94" s="76"/>
      <c r="B94" s="77"/>
      <c r="C94" s="77"/>
      <c r="D94" s="77"/>
      <c r="F94" s="84" t="s">
        <v>384</v>
      </c>
      <c r="G94" s="32">
        <f>G75+G92</f>
        <v>796076.34</v>
      </c>
      <c r="H94" s="32">
        <f t="shared" ref="H94:L94" si="13">H75+H92</f>
        <v>883649.48</v>
      </c>
      <c r="I94" s="32">
        <f t="shared" si="13"/>
        <v>6322009.5199999996</v>
      </c>
      <c r="J94" s="32">
        <f t="shared" si="13"/>
        <v>18775870.920000002</v>
      </c>
      <c r="K94" s="32">
        <f t="shared" si="13"/>
        <v>19139154.079999998</v>
      </c>
      <c r="L94" s="32">
        <f t="shared" si="13"/>
        <v>94406113.120000005</v>
      </c>
    </row>
    <row r="95" spans="1:12" x14ac:dyDescent="0.25">
      <c r="A95" s="76"/>
      <c r="B95" s="77"/>
      <c r="C95" s="77"/>
      <c r="D95" s="77"/>
      <c r="F95" s="84"/>
      <c r="G95" s="13"/>
      <c r="H95" s="12"/>
      <c r="I95" s="40"/>
      <c r="J95" s="41"/>
      <c r="K95" s="40"/>
      <c r="L95" s="41"/>
    </row>
    <row r="96" spans="1:12" x14ac:dyDescent="0.25">
      <c r="A96" s="76"/>
      <c r="B96" s="77"/>
      <c r="C96" s="77"/>
      <c r="D96" s="77"/>
      <c r="F96" s="88" t="s">
        <v>383</v>
      </c>
      <c r="G96" s="20"/>
      <c r="H96" s="21"/>
      <c r="I96" s="20"/>
      <c r="J96" s="21"/>
      <c r="K96" s="20"/>
      <c r="L96" s="21"/>
    </row>
    <row r="97" spans="1:12" x14ac:dyDescent="0.25">
      <c r="A97" s="76">
        <f>CEILING(VLOOKUP(F97,'Benchmark Unit Rates'!E:H,3,FALSE),10)</f>
        <v>2165100</v>
      </c>
      <c r="B97" s="79"/>
      <c r="C97" s="79">
        <v>1</v>
      </c>
      <c r="D97" s="79">
        <v>2</v>
      </c>
      <c r="F97" s="84" t="s">
        <v>215</v>
      </c>
      <c r="G97" s="13"/>
      <c r="H97" s="12"/>
      <c r="I97" s="40">
        <f>C97*A97</f>
        <v>2165100</v>
      </c>
      <c r="J97" s="41"/>
      <c r="K97" s="40">
        <f>D97*A97</f>
        <v>4330200</v>
      </c>
      <c r="L97" s="41"/>
    </row>
    <row r="98" spans="1:12" x14ac:dyDescent="0.25">
      <c r="A98" s="76">
        <f>CEILING(VLOOKUP(F98,'Benchmark Unit Rates'!E:H,3,FALSE),10)</f>
        <v>381470</v>
      </c>
      <c r="B98" s="79"/>
      <c r="C98" s="79">
        <v>1</v>
      </c>
      <c r="D98" s="79">
        <v>2</v>
      </c>
      <c r="F98" s="84" t="s">
        <v>122</v>
      </c>
      <c r="G98" s="13"/>
      <c r="H98" s="12"/>
      <c r="I98" s="40">
        <f>C98*A98</f>
        <v>381470</v>
      </c>
      <c r="J98" s="41"/>
      <c r="K98" s="40">
        <f>D98*A98</f>
        <v>762940</v>
      </c>
      <c r="L98" s="41"/>
    </row>
    <row r="99" spans="1:12" x14ac:dyDescent="0.25">
      <c r="F99" s="84" t="s">
        <v>387</v>
      </c>
      <c r="G99" s="26"/>
      <c r="H99" s="25"/>
      <c r="I99" s="40">
        <f>SUM(I97:I98)</f>
        <v>2546570</v>
      </c>
      <c r="J99" s="41"/>
      <c r="K99" s="40">
        <f>SUM(K97:K98)</f>
        <v>5093140</v>
      </c>
      <c r="L99" s="41"/>
    </row>
    <row r="100" spans="1:12" ht="60" x14ac:dyDescent="0.25">
      <c r="F100" s="84" t="s">
        <v>25</v>
      </c>
      <c r="G100" s="13"/>
      <c r="H100" s="12"/>
      <c r="I100" s="44" t="s">
        <v>124</v>
      </c>
      <c r="J100" s="11"/>
      <c r="K100" s="44" t="s">
        <v>124</v>
      </c>
      <c r="L100" s="11"/>
    </row>
    <row r="101" spans="1:12" ht="15.75" thickBot="1" x14ac:dyDescent="0.3">
      <c r="F101" s="89" t="s">
        <v>167</v>
      </c>
      <c r="G101" s="49"/>
      <c r="H101" s="50"/>
      <c r="I101" s="49">
        <f>'Operating Cost Summary'!C20*I18+'Operating Cost Summary'!C16</f>
        <v>0</v>
      </c>
      <c r="J101" s="50">
        <f>'Operating Cost Summary'!C26</f>
        <v>0</v>
      </c>
      <c r="K101" s="49">
        <f>'Operating Cost Summary'!C20*K18+'Operating Cost Summary'!C16*2</f>
        <v>0</v>
      </c>
      <c r="L101" s="50">
        <f>'Operating Cost Summary'!C26*3</f>
        <v>0</v>
      </c>
    </row>
    <row r="102" spans="1:12" ht="16.5" thickTop="1" thickBot="1" x14ac:dyDescent="0.3">
      <c r="F102" s="81"/>
      <c r="G102" s="51"/>
      <c r="H102" s="51"/>
      <c r="I102" s="31"/>
      <c r="J102" s="31"/>
      <c r="K102" s="31"/>
      <c r="L102" s="31"/>
    </row>
    <row r="103" spans="1:12" ht="15.75" thickTop="1" x14ac:dyDescent="0.25">
      <c r="F103" s="48" t="s">
        <v>388</v>
      </c>
      <c r="G103" s="53"/>
      <c r="H103" s="54">
        <f>SUM(G75:H75,G20:H20)</f>
        <v>2319725.8199999998</v>
      </c>
      <c r="I103" s="55"/>
      <c r="J103" s="56">
        <f>SUM(I75:J75,I19:J19,J92)</f>
        <v>25997880.440000001</v>
      </c>
      <c r="K103" s="55"/>
      <c r="L103" s="56">
        <f>SUM(K75:L75,K19:L19,L92)</f>
        <v>118045267.2</v>
      </c>
    </row>
    <row r="104" spans="1:12" ht="15.75" thickBot="1" x14ac:dyDescent="0.3">
      <c r="F104" s="48" t="s">
        <v>389</v>
      </c>
      <c r="G104" s="52"/>
      <c r="H104" s="104">
        <f>SUM(G77:H77,G31:H31)</f>
        <v>359525.6</v>
      </c>
      <c r="I104" s="52"/>
      <c r="J104" s="104">
        <f>SUM(I77:J77,I31:J31)</f>
        <v>422955.99999999994</v>
      </c>
      <c r="K104" s="52"/>
      <c r="L104" s="104">
        <f>SUM(K77:L77,K31:L31)</f>
        <v>1137889.2000000002</v>
      </c>
    </row>
    <row r="105" spans="1:12" ht="16.5" thickTop="1" thickBot="1" x14ac:dyDescent="0.3">
      <c r="F105" s="90"/>
      <c r="H105" s="30"/>
      <c r="J105" s="30"/>
      <c r="L105" s="30"/>
    </row>
    <row r="106" spans="1:12" ht="15.75" thickTop="1" x14ac:dyDescent="0.25">
      <c r="F106" s="48" t="s">
        <v>390</v>
      </c>
      <c r="G106" s="53"/>
      <c r="H106" s="91">
        <f>H103/H18</f>
        <v>1159.8629099999998</v>
      </c>
      <c r="I106" s="55"/>
      <c r="J106" s="91">
        <f>J103/J18</f>
        <v>12998.94022</v>
      </c>
      <c r="K106" s="55"/>
      <c r="L106" s="91">
        <f>L103/L18</f>
        <v>11804.52672</v>
      </c>
    </row>
    <row r="107" spans="1:12" ht="15.75" thickBot="1" x14ac:dyDescent="0.3">
      <c r="F107" s="48" t="s">
        <v>391</v>
      </c>
      <c r="G107" s="52"/>
      <c r="H107" s="105">
        <f>H104/H18</f>
        <v>179.7628</v>
      </c>
      <c r="I107" s="52"/>
      <c r="J107" s="105">
        <f>J104/J18</f>
        <v>211.47799999999998</v>
      </c>
      <c r="K107" s="52"/>
      <c r="L107" s="105">
        <f>L104/L18</f>
        <v>113.78892000000002</v>
      </c>
    </row>
    <row r="108" spans="1:12" ht="16.5" thickTop="1" thickBot="1" x14ac:dyDescent="0.3">
      <c r="F108" s="81"/>
      <c r="G108" s="51"/>
      <c r="H108" s="51"/>
      <c r="I108" s="31"/>
      <c r="J108" s="31"/>
      <c r="K108" s="31"/>
      <c r="L108" s="31"/>
    </row>
    <row r="109" spans="1:12" ht="15.75" thickTop="1" x14ac:dyDescent="0.25">
      <c r="F109" s="48" t="s">
        <v>392</v>
      </c>
      <c r="G109" s="53"/>
      <c r="H109" s="54">
        <f>SUM(G99:H99,G75:H75,G20:H20)</f>
        <v>2319725.8199999998</v>
      </c>
      <c r="I109" s="55"/>
      <c r="J109" s="56">
        <f>SUM(I99:J99,I75:J75,I19:J19,J92)</f>
        <v>28544450.440000001</v>
      </c>
      <c r="K109" s="55"/>
      <c r="L109" s="56">
        <f>SUM(K99:L99,K75:L75,K19:L19,L92)</f>
        <v>123138407.2</v>
      </c>
    </row>
    <row r="110" spans="1:12" ht="15.75" thickBot="1" x14ac:dyDescent="0.3">
      <c r="F110" s="48" t="s">
        <v>393</v>
      </c>
      <c r="G110" s="52"/>
      <c r="H110" s="104">
        <f>SUM(G101:H101,G77:H77,G21:H21,G31:H31)</f>
        <v>359525.6</v>
      </c>
      <c r="I110" s="52"/>
      <c r="J110" s="104">
        <f>SUM(I101:J101,I77:J77,I21:J21,I31:J31)</f>
        <v>422955.99999999994</v>
      </c>
      <c r="K110" s="52"/>
      <c r="L110" s="104">
        <f>SUM(K101:L101,K77:L77,K21:L21,K31:L31)</f>
        <v>1137889.2000000002</v>
      </c>
    </row>
    <row r="111" spans="1:12" ht="16.5" thickTop="1" thickBot="1" x14ac:dyDescent="0.3">
      <c r="F111" s="90"/>
      <c r="H111" s="30"/>
      <c r="J111" s="30"/>
      <c r="L111" s="30"/>
    </row>
    <row r="112" spans="1:12" ht="15.75" thickTop="1" x14ac:dyDescent="0.25">
      <c r="F112" s="48" t="s">
        <v>228</v>
      </c>
      <c r="G112" s="53"/>
      <c r="H112" s="91">
        <f>H109/H18</f>
        <v>1159.8629099999998</v>
      </c>
      <c r="I112" s="55"/>
      <c r="J112" s="91">
        <f>J109/J18</f>
        <v>14272.22522</v>
      </c>
      <c r="K112" s="55"/>
      <c r="L112" s="91">
        <f>L109/L18</f>
        <v>12313.84072</v>
      </c>
    </row>
    <row r="113" spans="6:12" ht="15.75" thickBot="1" x14ac:dyDescent="0.3">
      <c r="F113" s="48" t="s">
        <v>229</v>
      </c>
      <c r="G113" s="52"/>
      <c r="H113" s="105">
        <f>H110/H18</f>
        <v>179.7628</v>
      </c>
      <c r="I113" s="52"/>
      <c r="J113" s="105">
        <f>J110/J18</f>
        <v>211.47799999999998</v>
      </c>
      <c r="K113" s="52"/>
      <c r="L113" s="105">
        <f>L110/L18</f>
        <v>113.78892000000002</v>
      </c>
    </row>
    <row r="114" spans="6:12" ht="15.75" thickTop="1" x14ac:dyDescent="0.25">
      <c r="F114" s="60"/>
    </row>
    <row r="118" spans="6:12" x14ac:dyDescent="0.25">
      <c r="F118" s="61"/>
    </row>
  </sheetData>
  <sheetProtection algorithmName="SHA-512" hashValue="Eipzv4ZN7JLzrPyMvJ0zh9oVzr/LY5i8xVdMUloumirV7y3qQxKwMQIBiUZyGlCIIMpWoMrXRS0TAfeXzJO6+w==" saltValue="u0gE6gwhjZrdN04Rs9hzIA==" spinCount="100000" sheet="1" objects="1" scenarios="1"/>
  <mergeCells count="3">
    <mergeCell ref="G9:H9"/>
    <mergeCell ref="I9:J9"/>
    <mergeCell ref="K9:L9"/>
  </mergeCells>
  <pageMargins left="0.7" right="0.7" top="0.75" bottom="0.75" header="0.3" footer="0.3"/>
  <pageSetup paperSize="8" scale="73" fitToHeight="0" orientation="portrait" r:id="rId1"/>
  <rowBreaks count="1" manualBreakCount="1">
    <brk id="86" min="5" max="11"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J98"/>
  <sheetViews>
    <sheetView showGridLines="0" workbookViewId="0">
      <selection activeCell="B13" sqref="B13"/>
    </sheetView>
  </sheetViews>
  <sheetFormatPr defaultColWidth="8.7109375" defaultRowHeight="14.25" x14ac:dyDescent="0.2"/>
  <cols>
    <col min="1" max="1" width="8.7109375" style="62"/>
    <col min="2" max="2" width="24.85546875" style="62" customWidth="1"/>
    <col min="3" max="3" width="16.85546875" style="62" customWidth="1"/>
    <col min="4" max="4" width="14.140625" style="62" customWidth="1"/>
    <col min="5" max="5" width="18.7109375" style="62" customWidth="1"/>
    <col min="6" max="6" width="13.28515625" style="62" customWidth="1"/>
    <col min="7" max="7" width="15" style="62" customWidth="1"/>
    <col min="8" max="8" width="14.140625" style="62" customWidth="1"/>
    <col min="9" max="9" width="20.5703125" style="62" customWidth="1"/>
    <col min="10" max="10" width="38.5703125" style="62" customWidth="1"/>
    <col min="11" max="16384" width="8.7109375" style="62"/>
  </cols>
  <sheetData>
    <row r="7" spans="2:10" ht="20.65" x14ac:dyDescent="0.45">
      <c r="B7" s="65" t="s">
        <v>230</v>
      </c>
    </row>
    <row r="9" spans="2:10" ht="13.9" x14ac:dyDescent="0.3">
      <c r="B9" s="66"/>
    </row>
    <row r="10" spans="2:10" ht="14.65" thickBot="1" x14ac:dyDescent="0.35">
      <c r="C10" s="67"/>
    </row>
    <row r="11" spans="2:10" ht="15" thickBot="1" x14ac:dyDescent="0.4">
      <c r="B11"/>
      <c r="C11" s="226" t="s">
        <v>311</v>
      </c>
      <c r="D11" s="227"/>
      <c r="E11" s="226" t="s">
        <v>312</v>
      </c>
      <c r="F11" s="227"/>
      <c r="G11" s="226" t="s">
        <v>313</v>
      </c>
      <c r="H11" s="227"/>
      <c r="I11"/>
      <c r="J11"/>
    </row>
    <row r="12" spans="2:10" ht="15" thickBot="1" x14ac:dyDescent="0.4">
      <c r="B12" s="112" t="s">
        <v>231</v>
      </c>
      <c r="C12" s="139" t="s">
        <v>232</v>
      </c>
      <c r="D12" s="140" t="s">
        <v>233</v>
      </c>
      <c r="E12" s="139" t="s">
        <v>232</v>
      </c>
      <c r="F12" s="140" t="s">
        <v>233</v>
      </c>
      <c r="G12" s="139" t="s">
        <v>232</v>
      </c>
      <c r="H12" s="140" t="s">
        <v>233</v>
      </c>
      <c r="I12" s="114" t="s">
        <v>234</v>
      </c>
      <c r="J12" s="113" t="s">
        <v>235</v>
      </c>
    </row>
    <row r="13" spans="2:10" ht="13.9" customHeight="1" x14ac:dyDescent="0.25">
      <c r="B13" s="115" t="s">
        <v>236</v>
      </c>
      <c r="C13" s="116">
        <f>G13*100</f>
        <v>198.98299999999998</v>
      </c>
      <c r="D13" s="117" t="s">
        <v>237</v>
      </c>
      <c r="E13" s="116">
        <v>0.52</v>
      </c>
      <c r="F13" s="117" t="s">
        <v>237</v>
      </c>
      <c r="G13" s="118">
        <f>SUM(G14:G16)*1000/100/1000*1.031</f>
        <v>1.9898299999999998</v>
      </c>
      <c r="H13" s="117" t="s">
        <v>237</v>
      </c>
      <c r="I13" s="119"/>
      <c r="J13" s="223" t="s">
        <v>240</v>
      </c>
    </row>
    <row r="14" spans="2:10" ht="15" x14ac:dyDescent="0.25">
      <c r="B14" s="120"/>
      <c r="C14" s="121"/>
      <c r="D14" s="122"/>
      <c r="E14" s="121"/>
      <c r="F14" s="122"/>
      <c r="G14" s="123">
        <v>50</v>
      </c>
      <c r="H14" s="124" t="s">
        <v>238</v>
      </c>
      <c r="I14" s="125" t="s">
        <v>239</v>
      </c>
      <c r="J14" s="224"/>
    </row>
    <row r="15" spans="2:10" ht="15" x14ac:dyDescent="0.25">
      <c r="B15" s="120"/>
      <c r="C15" s="121"/>
      <c r="D15" s="122"/>
      <c r="E15" s="121"/>
      <c r="F15" s="122"/>
      <c r="G15" s="123">
        <f>143</f>
        <v>143</v>
      </c>
      <c r="H15" s="124" t="s">
        <v>238</v>
      </c>
      <c r="I15" s="125" t="s">
        <v>241</v>
      </c>
      <c r="J15" s="224"/>
    </row>
    <row r="16" spans="2:10" ht="15" x14ac:dyDescent="0.25">
      <c r="B16" s="120"/>
      <c r="C16" s="121"/>
      <c r="D16" s="122"/>
      <c r="E16" s="121"/>
      <c r="F16" s="122"/>
      <c r="G16" s="123"/>
      <c r="H16" s="124"/>
      <c r="I16" s="125"/>
      <c r="J16" s="224"/>
    </row>
    <row r="17" spans="2:10" ht="15" x14ac:dyDescent="0.25">
      <c r="B17" s="126" t="s">
        <v>242</v>
      </c>
      <c r="C17" s="127">
        <f>G17*100</f>
        <v>2680599.9999999995</v>
      </c>
      <c r="D17" s="128" t="s">
        <v>243</v>
      </c>
      <c r="E17" s="127">
        <f>G17</f>
        <v>26805.999999999996</v>
      </c>
      <c r="F17" s="128" t="s">
        <v>243</v>
      </c>
      <c r="G17" s="129">
        <f>SUM(G18:G20)*1000*1.031</f>
        <v>26805.999999999996</v>
      </c>
      <c r="H17" s="128" t="s">
        <v>243</v>
      </c>
      <c r="I17" s="130"/>
      <c r="J17" s="224"/>
    </row>
    <row r="18" spans="2:10" ht="15" x14ac:dyDescent="0.25">
      <c r="B18" s="120"/>
      <c r="C18" s="121"/>
      <c r="D18" s="122"/>
      <c r="E18" s="121"/>
      <c r="F18" s="122"/>
      <c r="G18" s="123">
        <v>3</v>
      </c>
      <c r="H18" s="124" t="s">
        <v>244</v>
      </c>
      <c r="I18" s="125" t="s">
        <v>239</v>
      </c>
      <c r="J18" s="224"/>
    </row>
    <row r="19" spans="2:10" ht="15" x14ac:dyDescent="0.25">
      <c r="B19" s="120"/>
      <c r="C19" s="121"/>
      <c r="D19" s="122"/>
      <c r="E19" s="121"/>
      <c r="F19" s="122"/>
      <c r="G19" s="123">
        <v>5</v>
      </c>
      <c r="H19" s="124" t="s">
        <v>244</v>
      </c>
      <c r="I19" s="125" t="s">
        <v>241</v>
      </c>
      <c r="J19" s="224"/>
    </row>
    <row r="20" spans="2:10" ht="15" x14ac:dyDescent="0.25">
      <c r="B20" s="120"/>
      <c r="C20" s="121"/>
      <c r="D20" s="122"/>
      <c r="E20" s="121"/>
      <c r="F20" s="122"/>
      <c r="G20" s="123">
        <v>18</v>
      </c>
      <c r="H20" s="124" t="s">
        <v>244</v>
      </c>
      <c r="I20" s="125" t="s">
        <v>245</v>
      </c>
      <c r="J20" s="224"/>
    </row>
    <row r="21" spans="2:10" ht="15" x14ac:dyDescent="0.25">
      <c r="B21" s="126" t="s">
        <v>246</v>
      </c>
      <c r="C21" s="127">
        <f>G21*100</f>
        <v>927.9</v>
      </c>
      <c r="D21" s="128" t="s">
        <v>314</v>
      </c>
      <c r="E21" s="127">
        <f>G21</f>
        <v>9.2789999999999999</v>
      </c>
      <c r="F21" s="128" t="s">
        <v>247</v>
      </c>
      <c r="G21" s="129">
        <f>G22*1.031</f>
        <v>9.2789999999999999</v>
      </c>
      <c r="H21" s="128" t="s">
        <v>247</v>
      </c>
      <c r="I21" s="130"/>
      <c r="J21" s="224"/>
    </row>
    <row r="22" spans="2:10" ht="15" x14ac:dyDescent="0.25">
      <c r="B22" s="120"/>
      <c r="C22" s="121"/>
      <c r="D22" s="122"/>
      <c r="E22" s="121"/>
      <c r="F22" s="122"/>
      <c r="G22" s="123">
        <v>9</v>
      </c>
      <c r="H22" s="122" t="s">
        <v>247</v>
      </c>
      <c r="I22" s="125"/>
      <c r="J22" s="224"/>
    </row>
    <row r="23" spans="2:10" ht="13.9" customHeight="1" x14ac:dyDescent="0.25">
      <c r="B23" s="126" t="s">
        <v>315</v>
      </c>
      <c r="C23" s="127">
        <f>G23*100</f>
        <v>237.12999999999997</v>
      </c>
      <c r="D23" s="128" t="s">
        <v>237</v>
      </c>
      <c r="E23" s="127">
        <v>0.76</v>
      </c>
      <c r="F23" s="128" t="s">
        <v>237</v>
      </c>
      <c r="G23" s="129">
        <f>SUM(G24:G26)*1000/100/1000*1.031</f>
        <v>2.3712999999999997</v>
      </c>
      <c r="H23" s="128" t="s">
        <v>237</v>
      </c>
      <c r="I23" s="131"/>
      <c r="J23" s="224" t="s">
        <v>248</v>
      </c>
    </row>
    <row r="24" spans="2:10" ht="15" x14ac:dyDescent="0.25">
      <c r="B24" s="120"/>
      <c r="C24" s="121"/>
      <c r="D24" s="122"/>
      <c r="E24" s="121"/>
      <c r="F24" s="122"/>
      <c r="G24" s="123">
        <v>73</v>
      </c>
      <c r="H24" s="124" t="s">
        <v>238</v>
      </c>
      <c r="I24" s="125" t="s">
        <v>239</v>
      </c>
      <c r="J24" s="224"/>
    </row>
    <row r="25" spans="2:10" ht="15" x14ac:dyDescent="0.25">
      <c r="B25" s="120"/>
      <c r="C25" s="121"/>
      <c r="D25" s="122"/>
      <c r="E25" s="121"/>
      <c r="F25" s="122"/>
      <c r="G25" s="123">
        <f>157</f>
        <v>157</v>
      </c>
      <c r="H25" s="124" t="s">
        <v>238</v>
      </c>
      <c r="I25" s="125" t="s">
        <v>241</v>
      </c>
      <c r="J25" s="224"/>
    </row>
    <row r="26" spans="2:10" ht="15" x14ac:dyDescent="0.25">
      <c r="B26" s="120"/>
      <c r="C26" s="121"/>
      <c r="D26" s="122"/>
      <c r="E26" s="121"/>
      <c r="F26" s="122"/>
      <c r="G26" s="123"/>
      <c r="H26" s="122"/>
      <c r="I26" s="125"/>
      <c r="J26" s="224"/>
    </row>
    <row r="27" spans="2:10" ht="15" x14ac:dyDescent="0.25">
      <c r="B27" s="126" t="s">
        <v>316</v>
      </c>
      <c r="C27" s="127">
        <f>G27*100</f>
        <v>213.41699999999997</v>
      </c>
      <c r="D27" s="128" t="s">
        <v>237</v>
      </c>
      <c r="E27" s="127">
        <v>0.52</v>
      </c>
      <c r="F27" s="128" t="s">
        <v>237</v>
      </c>
      <c r="G27" s="129">
        <f>SUM(G28:G31)*1000/100/1000*1.031</f>
        <v>2.1341699999999997</v>
      </c>
      <c r="H27" s="128" t="s">
        <v>237</v>
      </c>
      <c r="I27" s="131"/>
      <c r="J27" s="224" t="s">
        <v>317</v>
      </c>
    </row>
    <row r="28" spans="2:10" ht="15" x14ac:dyDescent="0.25">
      <c r="B28" s="120"/>
      <c r="C28" s="121"/>
      <c r="D28" s="122"/>
      <c r="E28" s="121"/>
      <c r="F28" s="122"/>
      <c r="G28" s="123">
        <v>50</v>
      </c>
      <c r="H28" s="124" t="s">
        <v>238</v>
      </c>
      <c r="I28" s="125" t="s">
        <v>239</v>
      </c>
      <c r="J28" s="224"/>
    </row>
    <row r="29" spans="2:10" ht="15" x14ac:dyDescent="0.25">
      <c r="B29" s="120"/>
      <c r="C29" s="121"/>
      <c r="D29" s="122"/>
      <c r="E29" s="121"/>
      <c r="F29" s="122"/>
      <c r="G29" s="123">
        <f>157</f>
        <v>157</v>
      </c>
      <c r="H29" s="124" t="s">
        <v>238</v>
      </c>
      <c r="I29" s="125" t="s">
        <v>241</v>
      </c>
      <c r="J29" s="224"/>
    </row>
    <row r="30" spans="2:10" ht="15" x14ac:dyDescent="0.25">
      <c r="B30" s="120"/>
      <c r="C30" s="121"/>
      <c r="D30" s="122"/>
      <c r="E30" s="121"/>
      <c r="F30" s="122"/>
      <c r="G30" s="123"/>
      <c r="H30" s="124"/>
      <c r="I30" s="125"/>
      <c r="J30" s="224"/>
    </row>
    <row r="31" spans="2:10" ht="15" x14ac:dyDescent="0.25">
      <c r="B31" s="120"/>
      <c r="C31" s="121"/>
      <c r="D31" s="122"/>
      <c r="E31" s="121"/>
      <c r="F31" s="122"/>
      <c r="G31" s="123"/>
      <c r="H31" s="122"/>
      <c r="I31" s="125"/>
      <c r="J31" s="224"/>
    </row>
    <row r="32" spans="2:10" ht="15" x14ac:dyDescent="0.25">
      <c r="B32" s="120"/>
      <c r="C32" s="121"/>
      <c r="D32" s="122"/>
      <c r="E32" s="121"/>
      <c r="F32" s="122"/>
      <c r="G32" s="123"/>
      <c r="H32" s="122"/>
      <c r="I32" s="125"/>
      <c r="J32" s="224"/>
    </row>
    <row r="33" spans="2:10" ht="15" x14ac:dyDescent="0.25">
      <c r="B33" s="126" t="s">
        <v>249</v>
      </c>
      <c r="C33" s="127">
        <f>G33*100</f>
        <v>1443399.9999999998</v>
      </c>
      <c r="D33" s="128" t="s">
        <v>243</v>
      </c>
      <c r="E33" s="127">
        <f>G33</f>
        <v>14433.999999999998</v>
      </c>
      <c r="F33" s="128" t="s">
        <v>243</v>
      </c>
      <c r="G33" s="129">
        <f>SUM(G34:G36)*1000*1.031</f>
        <v>14433.999999999998</v>
      </c>
      <c r="H33" s="128" t="s">
        <v>243</v>
      </c>
      <c r="I33" s="130"/>
      <c r="J33" s="224" t="s">
        <v>248</v>
      </c>
    </row>
    <row r="34" spans="2:10" ht="15" x14ac:dyDescent="0.25">
      <c r="B34" s="120"/>
      <c r="C34" s="121"/>
      <c r="D34" s="122"/>
      <c r="E34" s="121"/>
      <c r="F34" s="122"/>
      <c r="G34" s="123">
        <v>5</v>
      </c>
      <c r="H34" s="124" t="s">
        <v>244</v>
      </c>
      <c r="I34" s="125" t="s">
        <v>239</v>
      </c>
      <c r="J34" s="224"/>
    </row>
    <row r="35" spans="2:10" ht="15" x14ac:dyDescent="0.25">
      <c r="B35" s="120"/>
      <c r="C35" s="121"/>
      <c r="D35" s="122"/>
      <c r="E35" s="132"/>
      <c r="F35" s="122"/>
      <c r="G35" s="123">
        <v>5</v>
      </c>
      <c r="H35" s="124" t="s">
        <v>244</v>
      </c>
      <c r="I35" s="125" t="s">
        <v>241</v>
      </c>
      <c r="J35" s="224"/>
    </row>
    <row r="36" spans="2:10" ht="15" x14ac:dyDescent="0.25">
      <c r="B36" s="120"/>
      <c r="C36" s="121"/>
      <c r="D36" s="122"/>
      <c r="E36" s="132"/>
      <c r="F36" s="122"/>
      <c r="G36" s="123">
        <v>4</v>
      </c>
      <c r="H36" s="124" t="s">
        <v>244</v>
      </c>
      <c r="I36" s="125" t="s">
        <v>245</v>
      </c>
      <c r="J36" s="224"/>
    </row>
    <row r="37" spans="2:10" ht="15.75" thickBot="1" x14ac:dyDescent="0.3">
      <c r="B37" s="133"/>
      <c r="C37" s="134"/>
      <c r="D37" s="135"/>
      <c r="E37" s="136"/>
      <c r="F37" s="135"/>
      <c r="G37" s="137"/>
      <c r="H37" s="135"/>
      <c r="I37" s="138"/>
      <c r="J37" s="225"/>
    </row>
    <row r="38" spans="2:10" x14ac:dyDescent="0.2">
      <c r="C38" s="67"/>
      <c r="D38" s="69"/>
    </row>
    <row r="39" spans="2:10" x14ac:dyDescent="0.2">
      <c r="C39" s="68"/>
      <c r="D39" s="69"/>
    </row>
    <row r="40" spans="2:10" x14ac:dyDescent="0.2">
      <c r="C40" s="68"/>
      <c r="D40" s="69"/>
    </row>
    <row r="41" spans="2:10" x14ac:dyDescent="0.2">
      <c r="C41" s="68"/>
      <c r="D41" s="69"/>
    </row>
    <row r="42" spans="2:10" x14ac:dyDescent="0.2">
      <c r="C42" s="68"/>
      <c r="D42" s="69"/>
    </row>
    <row r="43" spans="2:10" x14ac:dyDescent="0.2">
      <c r="D43" s="64"/>
    </row>
    <row r="44" spans="2:10" x14ac:dyDescent="0.2">
      <c r="D44" s="64"/>
    </row>
    <row r="45" spans="2:10" x14ac:dyDescent="0.2">
      <c r="B45" s="66"/>
      <c r="D45" s="69"/>
    </row>
    <row r="46" spans="2:10" x14ac:dyDescent="0.2">
      <c r="C46" s="67"/>
      <c r="D46" s="69"/>
    </row>
    <row r="47" spans="2:10" x14ac:dyDescent="0.2">
      <c r="C47" s="68"/>
      <c r="D47" s="69"/>
    </row>
    <row r="48" spans="2:10" x14ac:dyDescent="0.2">
      <c r="C48" s="68"/>
      <c r="D48" s="69"/>
    </row>
    <row r="49" spans="3:4" x14ac:dyDescent="0.2">
      <c r="C49" s="68"/>
      <c r="D49" s="69"/>
    </row>
    <row r="50" spans="3:4" x14ac:dyDescent="0.2">
      <c r="C50" s="68"/>
      <c r="D50" s="69"/>
    </row>
    <row r="51" spans="3:4" x14ac:dyDescent="0.2">
      <c r="C51" s="68"/>
      <c r="D51" s="69"/>
    </row>
    <row r="52" spans="3:4" x14ac:dyDescent="0.2">
      <c r="C52" s="68"/>
      <c r="D52" s="69"/>
    </row>
    <row r="53" spans="3:4" x14ac:dyDescent="0.2">
      <c r="C53" s="68"/>
      <c r="D53" s="69"/>
    </row>
    <row r="54" spans="3:4" x14ac:dyDescent="0.2">
      <c r="C54" s="68"/>
      <c r="D54" s="69"/>
    </row>
    <row r="55" spans="3:4" x14ac:dyDescent="0.2">
      <c r="C55" s="68"/>
      <c r="D55" s="69"/>
    </row>
    <row r="56" spans="3:4" x14ac:dyDescent="0.2">
      <c r="C56" s="67"/>
      <c r="D56" s="69"/>
    </row>
    <row r="57" spans="3:4" x14ac:dyDescent="0.2">
      <c r="C57" s="68"/>
      <c r="D57" s="69"/>
    </row>
    <row r="58" spans="3:4" x14ac:dyDescent="0.2">
      <c r="C58" s="68"/>
      <c r="D58" s="69"/>
    </row>
    <row r="59" spans="3:4" x14ac:dyDescent="0.2">
      <c r="C59" s="68"/>
      <c r="D59" s="69"/>
    </row>
    <row r="60" spans="3:4" x14ac:dyDescent="0.2">
      <c r="C60" s="68"/>
      <c r="D60" s="69"/>
    </row>
    <row r="61" spans="3:4" x14ac:dyDescent="0.2">
      <c r="C61" s="68"/>
      <c r="D61" s="69"/>
    </row>
    <row r="62" spans="3:4" x14ac:dyDescent="0.2">
      <c r="C62" s="68"/>
      <c r="D62" s="69"/>
    </row>
    <row r="63" spans="3:4" x14ac:dyDescent="0.2">
      <c r="D63" s="69"/>
    </row>
    <row r="64" spans="3:4" x14ac:dyDescent="0.2">
      <c r="C64" s="67"/>
      <c r="D64" s="69"/>
    </row>
    <row r="65" spans="2:4" x14ac:dyDescent="0.2">
      <c r="C65" s="68"/>
      <c r="D65" s="69"/>
    </row>
    <row r="66" spans="2:4" x14ac:dyDescent="0.2">
      <c r="C66" s="68"/>
      <c r="D66" s="69"/>
    </row>
    <row r="67" spans="2:4" x14ac:dyDescent="0.2">
      <c r="C67" s="68"/>
      <c r="D67" s="69"/>
    </row>
    <row r="68" spans="2:4" x14ac:dyDescent="0.2">
      <c r="C68" s="68"/>
      <c r="D68" s="69"/>
    </row>
    <row r="69" spans="2:4" x14ac:dyDescent="0.2">
      <c r="C69" s="68"/>
      <c r="D69" s="69"/>
    </row>
    <row r="70" spans="2:4" x14ac:dyDescent="0.2">
      <c r="C70" s="68"/>
      <c r="D70" s="69"/>
    </row>
    <row r="71" spans="2:4" x14ac:dyDescent="0.2">
      <c r="D71" s="64"/>
    </row>
    <row r="72" spans="2:4" x14ac:dyDescent="0.2">
      <c r="D72" s="64"/>
    </row>
    <row r="73" spans="2:4" x14ac:dyDescent="0.2">
      <c r="B73" s="66"/>
      <c r="D73" s="69"/>
    </row>
    <row r="74" spans="2:4" x14ac:dyDescent="0.2">
      <c r="C74" s="67"/>
      <c r="D74" s="69"/>
    </row>
    <row r="75" spans="2:4" x14ac:dyDescent="0.2">
      <c r="C75" s="68"/>
      <c r="D75" s="69"/>
    </row>
    <row r="76" spans="2:4" x14ac:dyDescent="0.2">
      <c r="C76" s="68"/>
      <c r="D76" s="69"/>
    </row>
    <row r="77" spans="2:4" x14ac:dyDescent="0.2">
      <c r="C77" s="68"/>
      <c r="D77" s="69"/>
    </row>
    <row r="78" spans="2:4" x14ac:dyDescent="0.2">
      <c r="C78" s="68"/>
      <c r="D78" s="69"/>
    </row>
    <row r="79" spans="2:4" x14ac:dyDescent="0.2">
      <c r="C79" s="68"/>
      <c r="D79" s="69"/>
    </row>
    <row r="80" spans="2:4" x14ac:dyDescent="0.2">
      <c r="C80" s="68"/>
      <c r="D80" s="69"/>
    </row>
    <row r="81" spans="3:4" x14ac:dyDescent="0.2">
      <c r="C81" s="68"/>
      <c r="D81" s="69"/>
    </row>
    <row r="82" spans="3:4" x14ac:dyDescent="0.2">
      <c r="C82" s="68"/>
      <c r="D82" s="69"/>
    </row>
    <row r="83" spans="3:4" x14ac:dyDescent="0.2">
      <c r="D83" s="69"/>
    </row>
    <row r="84" spans="3:4" x14ac:dyDescent="0.2">
      <c r="C84" s="67"/>
      <c r="D84" s="69"/>
    </row>
    <row r="85" spans="3:4" x14ac:dyDescent="0.2">
      <c r="C85" s="68"/>
      <c r="D85" s="69"/>
    </row>
    <row r="86" spans="3:4" x14ac:dyDescent="0.2">
      <c r="C86" s="68"/>
      <c r="D86" s="69"/>
    </row>
    <row r="87" spans="3:4" x14ac:dyDescent="0.2">
      <c r="C87" s="68"/>
      <c r="D87" s="69"/>
    </row>
    <row r="88" spans="3:4" x14ac:dyDescent="0.2">
      <c r="C88" s="68"/>
      <c r="D88" s="69"/>
    </row>
    <row r="89" spans="3:4" x14ac:dyDescent="0.2">
      <c r="C89" s="68"/>
      <c r="D89" s="69"/>
    </row>
    <row r="90" spans="3:4" x14ac:dyDescent="0.2">
      <c r="C90" s="68"/>
      <c r="D90" s="69"/>
    </row>
    <row r="91" spans="3:4" x14ac:dyDescent="0.2">
      <c r="D91" s="69"/>
    </row>
    <row r="92" spans="3:4" x14ac:dyDescent="0.2">
      <c r="C92" s="67"/>
      <c r="D92" s="69"/>
    </row>
    <row r="93" spans="3:4" x14ac:dyDescent="0.2">
      <c r="C93" s="68"/>
      <c r="D93" s="69"/>
    </row>
    <row r="94" spans="3:4" x14ac:dyDescent="0.2">
      <c r="C94" s="68"/>
      <c r="D94" s="69"/>
    </row>
    <row r="95" spans="3:4" x14ac:dyDescent="0.2">
      <c r="C95" s="68"/>
      <c r="D95" s="69"/>
    </row>
    <row r="96" spans="3:4" x14ac:dyDescent="0.2">
      <c r="C96" s="68"/>
      <c r="D96" s="69"/>
    </row>
    <row r="97" spans="3:4" x14ac:dyDescent="0.2">
      <c r="C97" s="68"/>
      <c r="D97" s="69"/>
    </row>
    <row r="98" spans="3:4" x14ac:dyDescent="0.2">
      <c r="C98" s="68"/>
      <c r="D98" s="69"/>
    </row>
  </sheetData>
  <sheetProtection algorithmName="SHA-512" hashValue="BqQuwFYg9YjEIZcJQ1bfTDt6sM66quDlfAckTLfgtZZQOlGWMdHw9kPBUT4h1srSBbka82+S0qhjqghxHzTQTA==" saltValue="1axBYd2BAMIwBHV2ykMWmw==" spinCount="100000" sheet="1" objects="1" scenarios="1"/>
  <mergeCells count="7">
    <mergeCell ref="J13:J22"/>
    <mergeCell ref="J23:J26"/>
    <mergeCell ref="J27:J32"/>
    <mergeCell ref="J33:J37"/>
    <mergeCell ref="C11:D11"/>
    <mergeCell ref="E11:F11"/>
    <mergeCell ref="G11:H1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7:K71"/>
  <sheetViews>
    <sheetView showGridLines="0" workbookViewId="0">
      <selection activeCell="E11" sqref="E11"/>
    </sheetView>
  </sheetViews>
  <sheetFormatPr defaultColWidth="8.7109375" defaultRowHeight="14.25" x14ac:dyDescent="0.2"/>
  <cols>
    <col min="1" max="1" width="8.7109375" style="62"/>
    <col min="2" max="2" width="36.5703125" style="62" customWidth="1"/>
    <col min="3" max="3" width="37.28515625" style="62" customWidth="1"/>
    <col min="4" max="4" width="14.140625" style="62" customWidth="1"/>
    <col min="5" max="5" width="18.7109375" style="62" customWidth="1"/>
    <col min="6" max="6" width="13.28515625" style="62" customWidth="1"/>
    <col min="7" max="7" width="15" style="62" customWidth="1"/>
    <col min="8" max="8" width="14.140625" style="62" customWidth="1"/>
    <col min="9" max="9" width="20.5703125" style="62" customWidth="1"/>
    <col min="10" max="10" width="38.5703125" style="62" customWidth="1"/>
    <col min="11" max="11" width="18.5703125" style="62" customWidth="1"/>
    <col min="12" max="16384" width="8.7109375" style="62"/>
  </cols>
  <sheetData>
    <row r="7" spans="2:11" ht="20.65" x14ac:dyDescent="0.45">
      <c r="B7" s="65" t="s">
        <v>319</v>
      </c>
    </row>
    <row r="9" spans="2:11" ht="13.9" x14ac:dyDescent="0.3">
      <c r="B9" s="66"/>
    </row>
    <row r="10" spans="2:11" ht="13.9" x14ac:dyDescent="0.3">
      <c r="C10" s="67"/>
    </row>
    <row r="11" spans="2:11" ht="14.65" thickBot="1" x14ac:dyDescent="0.35">
      <c r="C11" s="67"/>
      <c r="D11" s="69"/>
    </row>
    <row r="12" spans="2:11" ht="14.65" thickBot="1" x14ac:dyDescent="0.35">
      <c r="B12" s="141"/>
      <c r="C12" s="141"/>
      <c r="D12" s="141"/>
      <c r="E12" s="141"/>
      <c r="F12" s="141"/>
      <c r="G12" s="228" t="s">
        <v>320</v>
      </c>
      <c r="H12" s="229"/>
      <c r="I12" s="229"/>
      <c r="J12" s="229"/>
      <c r="K12" s="230"/>
    </row>
    <row r="13" spans="2:11" ht="78.400000000000006" thickBot="1" x14ac:dyDescent="0.35">
      <c r="B13" s="142" t="s">
        <v>0</v>
      </c>
      <c r="C13" s="143" t="s">
        <v>1</v>
      </c>
      <c r="D13" s="143" t="s">
        <v>321</v>
      </c>
      <c r="E13" s="144" t="s">
        <v>322</v>
      </c>
      <c r="F13" s="145"/>
      <c r="G13" s="146" t="s">
        <v>323</v>
      </c>
      <c r="H13" s="147" t="s">
        <v>324</v>
      </c>
      <c r="I13" s="148" t="s">
        <v>325</v>
      </c>
      <c r="J13" s="149" t="s">
        <v>326</v>
      </c>
      <c r="K13" s="150" t="s">
        <v>327</v>
      </c>
    </row>
    <row r="14" spans="2:11" ht="14.65" thickBot="1" x14ac:dyDescent="0.35">
      <c r="B14" s="151" t="s">
        <v>12</v>
      </c>
      <c r="C14" s="152" t="s">
        <v>328</v>
      </c>
      <c r="D14" s="153" t="s">
        <v>113</v>
      </c>
      <c r="E14" s="154">
        <v>107.22399999999999</v>
      </c>
      <c r="F14" s="155"/>
      <c r="G14" s="156">
        <f>E14*$D$48</f>
        <v>64.334399999999988</v>
      </c>
      <c r="H14" s="185">
        <f>(62)*($D$47)</f>
        <v>63.921999999999997</v>
      </c>
      <c r="I14" s="154">
        <f>42*$D$47</f>
        <v>43.302</v>
      </c>
      <c r="J14" s="157">
        <f t="shared" ref="J14:J27" si="0">SUM(G14,H14,I14)</f>
        <v>171.55839999999998</v>
      </c>
      <c r="K14" s="158" t="s">
        <v>329</v>
      </c>
    </row>
    <row r="15" spans="2:11" ht="14.65" thickBot="1" x14ac:dyDescent="0.35">
      <c r="B15" s="159" t="s">
        <v>12</v>
      </c>
      <c r="C15" s="92" t="s">
        <v>330</v>
      </c>
      <c r="D15" s="160" t="s">
        <v>113</v>
      </c>
      <c r="E15" s="161">
        <v>125.782</v>
      </c>
      <c r="F15" s="162"/>
      <c r="G15" s="156">
        <f t="shared" ref="G15:G41" si="1">E15*$D$48</f>
        <v>75.469200000000001</v>
      </c>
      <c r="H15" s="163">
        <f>(80)*($D$47)</f>
        <v>82.47999999999999</v>
      </c>
      <c r="I15" s="161">
        <f>42*$D$47</f>
        <v>43.302</v>
      </c>
      <c r="J15" s="164">
        <f t="shared" si="0"/>
        <v>201.25119999999998</v>
      </c>
      <c r="K15" s="165" t="s">
        <v>329</v>
      </c>
    </row>
    <row r="16" spans="2:11" ht="14.65" thickBot="1" x14ac:dyDescent="0.35">
      <c r="B16" s="159" t="s">
        <v>12</v>
      </c>
      <c r="C16" s="92" t="s">
        <v>331</v>
      </c>
      <c r="D16" s="160" t="s">
        <v>113</v>
      </c>
      <c r="E16" s="161">
        <v>141.24699999999999</v>
      </c>
      <c r="F16" s="162"/>
      <c r="G16" s="156">
        <f t="shared" si="1"/>
        <v>84.748199999999983</v>
      </c>
      <c r="H16" s="163">
        <f>(95)*($D$47)</f>
        <v>97.944999999999993</v>
      </c>
      <c r="I16" s="161">
        <f>42*$D$47</f>
        <v>43.302</v>
      </c>
      <c r="J16" s="164">
        <f t="shared" si="0"/>
        <v>225.99519999999998</v>
      </c>
      <c r="K16" s="165" t="s">
        <v>329</v>
      </c>
    </row>
    <row r="17" spans="2:11" ht="14.65" thickBot="1" x14ac:dyDescent="0.35">
      <c r="B17" s="159" t="s">
        <v>12</v>
      </c>
      <c r="C17" s="92" t="s">
        <v>332</v>
      </c>
      <c r="D17" s="160" t="s">
        <v>113</v>
      </c>
      <c r="E17" s="161">
        <v>207.23099999999999</v>
      </c>
      <c r="F17" s="162"/>
      <c r="G17" s="156">
        <f t="shared" si="1"/>
        <v>124.33859999999999</v>
      </c>
      <c r="H17" s="163">
        <f>(140)*($D$47)</f>
        <v>144.33999999999997</v>
      </c>
      <c r="I17" s="161">
        <f>61*$D$47</f>
        <v>62.890999999999998</v>
      </c>
      <c r="J17" s="164">
        <f t="shared" si="0"/>
        <v>331.56959999999998</v>
      </c>
      <c r="K17" s="165" t="s">
        <v>329</v>
      </c>
    </row>
    <row r="18" spans="2:11" ht="14.65" thickBot="1" x14ac:dyDescent="0.35">
      <c r="B18" s="159" t="s">
        <v>12</v>
      </c>
      <c r="C18" s="92" t="s">
        <v>333</v>
      </c>
      <c r="D18" s="160" t="s">
        <v>113</v>
      </c>
      <c r="E18" s="161">
        <v>279.40099999999995</v>
      </c>
      <c r="F18" s="162"/>
      <c r="G18" s="156">
        <f t="shared" si="1"/>
        <v>167.64059999999998</v>
      </c>
      <c r="H18" s="163">
        <f>(190)*($D$47)</f>
        <v>195.89</v>
      </c>
      <c r="I18" s="161">
        <f>81*$D$47</f>
        <v>83.510999999999996</v>
      </c>
      <c r="J18" s="164">
        <f t="shared" si="0"/>
        <v>447.0415999999999</v>
      </c>
      <c r="K18" s="165" t="s">
        <v>329</v>
      </c>
    </row>
    <row r="19" spans="2:11" ht="14.65" thickBot="1" x14ac:dyDescent="0.35">
      <c r="B19" s="159" t="s">
        <v>12</v>
      </c>
      <c r="C19" s="92" t="s">
        <v>334</v>
      </c>
      <c r="D19" s="160" t="s">
        <v>113</v>
      </c>
      <c r="E19" s="161">
        <v>362.91199999999998</v>
      </c>
      <c r="F19" s="162"/>
      <c r="G19" s="156">
        <f t="shared" si="1"/>
        <v>217.74719999999999</v>
      </c>
      <c r="H19" s="163">
        <f>(250)*($D$47)</f>
        <v>257.75</v>
      </c>
      <c r="I19" s="161">
        <f>102*$D$47</f>
        <v>105.16199999999999</v>
      </c>
      <c r="J19" s="164">
        <f t="shared" si="0"/>
        <v>580.65920000000006</v>
      </c>
      <c r="K19" s="165" t="s">
        <v>329</v>
      </c>
    </row>
    <row r="20" spans="2:11" ht="14.65" thickBot="1" x14ac:dyDescent="0.35">
      <c r="B20" s="159" t="s">
        <v>12</v>
      </c>
      <c r="C20" s="92" t="s">
        <v>335</v>
      </c>
      <c r="D20" s="160" t="s">
        <v>113</v>
      </c>
      <c r="E20" s="161">
        <v>455.70199999999994</v>
      </c>
      <c r="F20" s="162"/>
      <c r="G20" s="156">
        <f t="shared" si="1"/>
        <v>273.42119999999994</v>
      </c>
      <c r="H20" s="163">
        <f>(320)*($D$47)</f>
        <v>329.91999999999996</v>
      </c>
      <c r="I20" s="161">
        <f>122*$D$47</f>
        <v>125.782</v>
      </c>
      <c r="J20" s="164">
        <f t="shared" si="0"/>
        <v>729.12319999999988</v>
      </c>
      <c r="K20" s="165" t="s">
        <v>329</v>
      </c>
    </row>
    <row r="21" spans="2:11" ht="14.65" thickBot="1" x14ac:dyDescent="0.35">
      <c r="B21" s="159" t="s">
        <v>12</v>
      </c>
      <c r="C21" s="92" t="s">
        <v>336</v>
      </c>
      <c r="D21" s="160" t="s">
        <v>113</v>
      </c>
      <c r="E21" s="161">
        <v>600.04199999999992</v>
      </c>
      <c r="F21" s="162"/>
      <c r="G21" s="156">
        <f t="shared" si="1"/>
        <v>360.02519999999993</v>
      </c>
      <c r="H21" s="163">
        <f>(420)*($D$47)</f>
        <v>433.02</v>
      </c>
      <c r="I21" s="161">
        <f>162*$D$47</f>
        <v>167.02199999999999</v>
      </c>
      <c r="J21" s="164">
        <f t="shared" si="0"/>
        <v>960.06719999999996</v>
      </c>
      <c r="K21" s="165" t="s">
        <v>329</v>
      </c>
    </row>
    <row r="22" spans="2:11" ht="14.65" thickBot="1" x14ac:dyDescent="0.35">
      <c r="B22" s="159" t="s">
        <v>12</v>
      </c>
      <c r="C22" s="92" t="s">
        <v>57</v>
      </c>
      <c r="D22" s="160" t="s">
        <v>113</v>
      </c>
      <c r="E22" s="161">
        <v>208.26199999999997</v>
      </c>
      <c r="F22" s="162"/>
      <c r="G22" s="156">
        <f t="shared" si="1"/>
        <v>124.95719999999997</v>
      </c>
      <c r="H22" s="163">
        <f>(160)*$D$47</f>
        <v>164.95999999999998</v>
      </c>
      <c r="I22" s="161">
        <f>42*$D$47</f>
        <v>43.302</v>
      </c>
      <c r="J22" s="164">
        <f t="shared" si="0"/>
        <v>333.2192</v>
      </c>
      <c r="K22" s="165" t="s">
        <v>329</v>
      </c>
    </row>
    <row r="23" spans="2:11" ht="14.65" thickBot="1" x14ac:dyDescent="0.35">
      <c r="B23" s="159" t="s">
        <v>12</v>
      </c>
      <c r="C23" s="92" t="s">
        <v>58</v>
      </c>
      <c r="D23" s="160" t="s">
        <v>113</v>
      </c>
      <c r="E23" s="161">
        <v>269.09099999999995</v>
      </c>
      <c r="F23" s="162"/>
      <c r="G23" s="156">
        <f t="shared" si="1"/>
        <v>161.45459999999997</v>
      </c>
      <c r="H23" s="163">
        <f>(200)*$D$47</f>
        <v>206.2</v>
      </c>
      <c r="I23" s="161">
        <f>61*$D$47</f>
        <v>62.890999999999998</v>
      </c>
      <c r="J23" s="164">
        <f t="shared" si="0"/>
        <v>430.54559999999998</v>
      </c>
      <c r="K23" s="165" t="s">
        <v>329</v>
      </c>
    </row>
    <row r="24" spans="2:11" ht="14.65" thickBot="1" x14ac:dyDescent="0.35">
      <c r="B24" s="159" t="s">
        <v>12</v>
      </c>
      <c r="C24" s="92" t="s">
        <v>59</v>
      </c>
      <c r="D24" s="160" t="s">
        <v>113</v>
      </c>
      <c r="E24" s="161">
        <v>341.26099999999997</v>
      </c>
      <c r="F24" s="162"/>
      <c r="G24" s="156">
        <f t="shared" si="1"/>
        <v>204.75659999999996</v>
      </c>
      <c r="H24" s="163">
        <f>(250)*$D$47</f>
        <v>257.75</v>
      </c>
      <c r="I24" s="161">
        <f>81*$D$47</f>
        <v>83.510999999999996</v>
      </c>
      <c r="J24" s="164">
        <f t="shared" si="0"/>
        <v>546.0175999999999</v>
      </c>
      <c r="K24" s="165" t="s">
        <v>329</v>
      </c>
    </row>
    <row r="25" spans="2:11" ht="14.65" thickBot="1" x14ac:dyDescent="0.35">
      <c r="B25" s="159" t="s">
        <v>12</v>
      </c>
      <c r="C25" s="92" t="s">
        <v>60</v>
      </c>
      <c r="D25" s="160" t="s">
        <v>113</v>
      </c>
      <c r="E25" s="161">
        <v>404.15199999999999</v>
      </c>
      <c r="F25" s="162"/>
      <c r="G25" s="156">
        <f t="shared" si="1"/>
        <v>242.49119999999999</v>
      </c>
      <c r="H25" s="163">
        <f>(290)*$D$47</f>
        <v>298.98999999999995</v>
      </c>
      <c r="I25" s="161">
        <f>102*$D$47</f>
        <v>105.16199999999999</v>
      </c>
      <c r="J25" s="164">
        <f t="shared" si="0"/>
        <v>646.64319999999998</v>
      </c>
      <c r="K25" s="165" t="s">
        <v>329</v>
      </c>
    </row>
    <row r="26" spans="2:11" ht="14.65" thickBot="1" x14ac:dyDescent="0.35">
      <c r="B26" s="159" t="s">
        <v>12</v>
      </c>
      <c r="C26" s="92" t="s">
        <v>61</v>
      </c>
      <c r="D26" s="160" t="s">
        <v>113</v>
      </c>
      <c r="E26" s="161">
        <v>476.32199999999995</v>
      </c>
      <c r="F26" s="162"/>
      <c r="G26" s="156">
        <f t="shared" si="1"/>
        <v>285.79319999999996</v>
      </c>
      <c r="H26" s="163">
        <f>(340)*$D$47</f>
        <v>350.53999999999996</v>
      </c>
      <c r="I26" s="161">
        <f>122*$D$47</f>
        <v>125.782</v>
      </c>
      <c r="J26" s="164">
        <f t="shared" si="0"/>
        <v>762.11519999999996</v>
      </c>
      <c r="K26" s="165" t="s">
        <v>329</v>
      </c>
    </row>
    <row r="27" spans="2:11" ht="14.65" thickBot="1" x14ac:dyDescent="0.35">
      <c r="B27" s="159" t="s">
        <v>12</v>
      </c>
      <c r="C27" s="92" t="s">
        <v>62</v>
      </c>
      <c r="D27" s="160" t="s">
        <v>113</v>
      </c>
      <c r="E27" s="161">
        <v>610.35199999999998</v>
      </c>
      <c r="F27" s="162"/>
      <c r="G27" s="156">
        <f t="shared" si="1"/>
        <v>366.21119999999996</v>
      </c>
      <c r="H27" s="163">
        <f>(430)*$D$47</f>
        <v>443.33</v>
      </c>
      <c r="I27" s="161">
        <f>162*$D$47</f>
        <v>167.02199999999999</v>
      </c>
      <c r="J27" s="164">
        <f t="shared" si="0"/>
        <v>976.56319999999982</v>
      </c>
      <c r="K27" s="165" t="s">
        <v>329</v>
      </c>
    </row>
    <row r="28" spans="2:11" ht="14.45" thickBot="1" x14ac:dyDescent="0.3">
      <c r="B28" s="159" t="s">
        <v>14</v>
      </c>
      <c r="C28" s="92" t="s">
        <v>69</v>
      </c>
      <c r="D28" s="160" t="s">
        <v>113</v>
      </c>
      <c r="E28" s="161">
        <v>265.99799999999999</v>
      </c>
      <c r="F28" s="162"/>
      <c r="G28" s="156">
        <f t="shared" si="1"/>
        <v>159.59879999999998</v>
      </c>
      <c r="H28" s="163">
        <f>(216)*$D$47</f>
        <v>222.69599999999997</v>
      </c>
      <c r="I28" s="161">
        <f>42*$D$47</f>
        <v>43.302</v>
      </c>
      <c r="J28" s="164">
        <f>SUM(G28,H28,I28)</f>
        <v>425.59679999999997</v>
      </c>
      <c r="K28" s="215" t="s">
        <v>329</v>
      </c>
    </row>
    <row r="29" spans="2:11" ht="14.45" thickBot="1" x14ac:dyDescent="0.3">
      <c r="B29" s="159" t="s">
        <v>14</v>
      </c>
      <c r="C29" s="92" t="s">
        <v>70</v>
      </c>
      <c r="D29" s="160" t="s">
        <v>113</v>
      </c>
      <c r="E29" s="161">
        <v>323.73399999999998</v>
      </c>
      <c r="F29" s="162"/>
      <c r="G29" s="156">
        <f t="shared" si="1"/>
        <v>194.24039999999999</v>
      </c>
      <c r="H29" s="163">
        <f>(253)*$D$47</f>
        <v>260.84299999999996</v>
      </c>
      <c r="I29" s="161">
        <f>61*$D$47</f>
        <v>62.890999999999998</v>
      </c>
      <c r="J29" s="166">
        <f t="shared" ref="J29:J35" si="2">SUM(G29,H29,I29)</f>
        <v>517.97439999999995</v>
      </c>
      <c r="K29" s="167">
        <f>$D$49*J29</f>
        <v>258.98719999999997</v>
      </c>
    </row>
    <row r="30" spans="2:11" ht="14.45" thickBot="1" x14ac:dyDescent="0.3">
      <c r="B30" s="159" t="s">
        <v>14</v>
      </c>
      <c r="C30" s="92" t="s">
        <v>71</v>
      </c>
      <c r="D30" s="160" t="s">
        <v>113</v>
      </c>
      <c r="E30" s="161">
        <v>429.92699999999996</v>
      </c>
      <c r="F30" s="162"/>
      <c r="G30" s="156">
        <f t="shared" si="1"/>
        <v>257.95619999999997</v>
      </c>
      <c r="H30" s="163">
        <f>(315)*$D$47</f>
        <v>324.76499999999999</v>
      </c>
      <c r="I30" s="161">
        <f>102*$D$47</f>
        <v>105.16199999999999</v>
      </c>
      <c r="J30" s="166">
        <f t="shared" si="2"/>
        <v>687.88319999999999</v>
      </c>
      <c r="K30" s="167">
        <f t="shared" ref="K30:K35" si="3">$D$49*J30</f>
        <v>343.94159999999999</v>
      </c>
    </row>
    <row r="31" spans="2:11" ht="14.45" thickBot="1" x14ac:dyDescent="0.3">
      <c r="B31" s="159" t="s">
        <v>14</v>
      </c>
      <c r="C31" s="92" t="s">
        <v>72</v>
      </c>
      <c r="D31" s="160" t="s">
        <v>113</v>
      </c>
      <c r="E31" s="161">
        <v>566.01900000000001</v>
      </c>
      <c r="F31" s="162"/>
      <c r="G31" s="156">
        <f t="shared" si="1"/>
        <v>339.6114</v>
      </c>
      <c r="H31" s="163">
        <f>(427)*$D$47</f>
        <v>440.23699999999997</v>
      </c>
      <c r="I31" s="161">
        <f>122*$D$47</f>
        <v>125.782</v>
      </c>
      <c r="J31" s="166">
        <f t="shared" si="2"/>
        <v>905.63040000000001</v>
      </c>
      <c r="K31" s="167">
        <f t="shared" si="3"/>
        <v>452.8152</v>
      </c>
    </row>
    <row r="32" spans="2:11" ht="14.45" thickBot="1" x14ac:dyDescent="0.3">
      <c r="B32" s="159" t="s">
        <v>14</v>
      </c>
      <c r="C32" s="92" t="s">
        <v>73</v>
      </c>
      <c r="D32" s="160" t="s">
        <v>113</v>
      </c>
      <c r="E32" s="161">
        <v>737.16499999999996</v>
      </c>
      <c r="F32" s="162"/>
      <c r="G32" s="156">
        <f t="shared" si="1"/>
        <v>442.29899999999998</v>
      </c>
      <c r="H32" s="163">
        <f>(553)*$D$47</f>
        <v>570.14299999999992</v>
      </c>
      <c r="I32" s="161">
        <f>162*$D$47</f>
        <v>167.02199999999999</v>
      </c>
      <c r="J32" s="166">
        <f t="shared" si="2"/>
        <v>1179.4639999999999</v>
      </c>
      <c r="K32" s="167">
        <f t="shared" si="3"/>
        <v>589.73199999999997</v>
      </c>
    </row>
    <row r="33" spans="2:11" ht="15" thickBot="1" x14ac:dyDescent="0.25">
      <c r="B33" s="159" t="s">
        <v>14</v>
      </c>
      <c r="C33" s="92" t="s">
        <v>74</v>
      </c>
      <c r="D33" s="160" t="s">
        <v>113</v>
      </c>
      <c r="E33" s="161">
        <v>900.06299999999987</v>
      </c>
      <c r="F33" s="162"/>
      <c r="G33" s="156">
        <f t="shared" si="1"/>
        <v>540.03779999999995</v>
      </c>
      <c r="H33" s="163">
        <f>(670)*$D$47</f>
        <v>690.77</v>
      </c>
      <c r="I33" s="161">
        <f>203*$D$47</f>
        <v>209.29299999999998</v>
      </c>
      <c r="J33" s="166">
        <f t="shared" si="2"/>
        <v>1440.1007999999999</v>
      </c>
      <c r="K33" s="167">
        <f t="shared" si="3"/>
        <v>720.05039999999997</v>
      </c>
    </row>
    <row r="34" spans="2:11" ht="15" thickBot="1" x14ac:dyDescent="0.25">
      <c r="B34" s="159" t="s">
        <v>14</v>
      </c>
      <c r="C34" s="92" t="s">
        <v>75</v>
      </c>
      <c r="D34" s="160" t="s">
        <v>113</v>
      </c>
      <c r="E34" s="161">
        <v>1037.1859999999999</v>
      </c>
      <c r="F34" s="162"/>
      <c r="G34" s="156">
        <f t="shared" si="1"/>
        <v>622.31159999999988</v>
      </c>
      <c r="H34" s="163">
        <f>(775)*$D$47</f>
        <v>799.02499999999998</v>
      </c>
      <c r="I34" s="161">
        <f>231*$D$47</f>
        <v>238.16099999999997</v>
      </c>
      <c r="J34" s="166">
        <f t="shared" si="2"/>
        <v>1659.4975999999999</v>
      </c>
      <c r="K34" s="167">
        <f t="shared" si="3"/>
        <v>829.74879999999996</v>
      </c>
    </row>
    <row r="35" spans="2:11" ht="15" thickBot="1" x14ac:dyDescent="0.25">
      <c r="B35" s="159" t="s">
        <v>14</v>
      </c>
      <c r="C35" s="92" t="s">
        <v>76</v>
      </c>
      <c r="D35" s="160" t="s">
        <v>113</v>
      </c>
      <c r="E35" s="161">
        <v>1310.4009999999998</v>
      </c>
      <c r="F35" s="162"/>
      <c r="G35" s="156">
        <f t="shared" si="1"/>
        <v>786.24059999999986</v>
      </c>
      <c r="H35" s="163">
        <f>(1000)*$D$47</f>
        <v>1031</v>
      </c>
      <c r="I35" s="161">
        <f>271*$D$47</f>
        <v>279.40099999999995</v>
      </c>
      <c r="J35" s="166">
        <f t="shared" si="2"/>
        <v>2096.6415999999999</v>
      </c>
      <c r="K35" s="167">
        <f t="shared" si="3"/>
        <v>1048.3208</v>
      </c>
    </row>
    <row r="36" spans="2:11" ht="15" thickBot="1" x14ac:dyDescent="0.25">
      <c r="B36" s="168" t="s">
        <v>15</v>
      </c>
      <c r="C36" s="169" t="s">
        <v>87</v>
      </c>
      <c r="D36" s="160" t="s">
        <v>113</v>
      </c>
      <c r="E36" s="161">
        <f>106.193+$D$47*42</f>
        <v>149.495</v>
      </c>
      <c r="F36" s="162"/>
      <c r="G36" s="156">
        <f t="shared" si="1"/>
        <v>89.697000000000003</v>
      </c>
      <c r="H36" s="163">
        <f>(115)*$D$47</f>
        <v>118.56499999999998</v>
      </c>
      <c r="I36" s="161">
        <f>42*$D$47</f>
        <v>43.302</v>
      </c>
      <c r="J36" s="167">
        <f>SUM(G36,H36,I36)</f>
        <v>251.56399999999999</v>
      </c>
      <c r="K36" s="170" t="s">
        <v>329</v>
      </c>
    </row>
    <row r="37" spans="2:11" ht="15" thickBot="1" x14ac:dyDescent="0.25">
      <c r="B37" s="168" t="s">
        <v>15</v>
      </c>
      <c r="C37" s="169" t="s">
        <v>88</v>
      </c>
      <c r="D37" s="160" t="s">
        <v>113</v>
      </c>
      <c r="E37" s="161">
        <f>152.588+$D$47*61</f>
        <v>215.47899999999998</v>
      </c>
      <c r="F37" s="162"/>
      <c r="G37" s="156">
        <f t="shared" si="1"/>
        <v>129.28739999999999</v>
      </c>
      <c r="H37" s="163">
        <f>(160)*$D$47</f>
        <v>164.95999999999998</v>
      </c>
      <c r="I37" s="161">
        <f>61*$D$47</f>
        <v>62.890999999999998</v>
      </c>
      <c r="J37" s="167">
        <f t="shared" ref="J37:J41" si="4">SUM(G37,H37,I37)</f>
        <v>357.13839999999999</v>
      </c>
      <c r="K37" s="170" t="s">
        <v>329</v>
      </c>
    </row>
    <row r="38" spans="2:11" ht="15" thickBot="1" x14ac:dyDescent="0.25">
      <c r="B38" s="168" t="s">
        <v>15</v>
      </c>
      <c r="C38" s="169" t="s">
        <v>89</v>
      </c>
      <c r="D38" s="160" t="s">
        <v>113</v>
      </c>
      <c r="E38" s="161">
        <f>183.518+$D$47*81</f>
        <v>267.029</v>
      </c>
      <c r="F38" s="162"/>
      <c r="G38" s="156">
        <f t="shared" si="1"/>
        <v>160.2174</v>
      </c>
      <c r="H38" s="163">
        <f>(190)*$D$47</f>
        <v>195.89</v>
      </c>
      <c r="I38" s="161">
        <f>81*$D$47</f>
        <v>83.510999999999996</v>
      </c>
      <c r="J38" s="167">
        <f t="shared" si="4"/>
        <v>439.61839999999995</v>
      </c>
      <c r="K38" s="170" t="s">
        <v>329</v>
      </c>
    </row>
    <row r="39" spans="2:11" ht="15" thickBot="1" x14ac:dyDescent="0.25">
      <c r="B39" s="168" t="s">
        <v>15</v>
      </c>
      <c r="C39" s="169" t="s">
        <v>90</v>
      </c>
      <c r="D39" s="160" t="s">
        <v>113</v>
      </c>
      <c r="E39" s="161">
        <f>229.913+$D$47*102</f>
        <v>335.07499999999999</v>
      </c>
      <c r="F39" s="162"/>
      <c r="G39" s="156">
        <f t="shared" si="1"/>
        <v>201.04499999999999</v>
      </c>
      <c r="H39" s="163">
        <f>(235)*$D$47</f>
        <v>242.28499999999997</v>
      </c>
      <c r="I39" s="161">
        <f>102*$D$47</f>
        <v>105.16199999999999</v>
      </c>
      <c r="J39" s="167">
        <f t="shared" si="4"/>
        <v>548.49199999999996</v>
      </c>
      <c r="K39" s="170" t="s">
        <v>329</v>
      </c>
    </row>
    <row r="40" spans="2:11" ht="15" thickBot="1" x14ac:dyDescent="0.25">
      <c r="B40" s="168" t="s">
        <v>15</v>
      </c>
      <c r="C40" s="169" t="s">
        <v>101</v>
      </c>
      <c r="D40" s="160" t="s">
        <v>113</v>
      </c>
      <c r="E40" s="161">
        <f>291.773+$D$47*122</f>
        <v>417.55500000000001</v>
      </c>
      <c r="F40" s="162"/>
      <c r="G40" s="156">
        <f t="shared" si="1"/>
        <v>250.53299999999999</v>
      </c>
      <c r="H40" s="163">
        <f>(295)*$D$47</f>
        <v>304.14499999999998</v>
      </c>
      <c r="I40" s="161">
        <f>122*$D$47</f>
        <v>125.782</v>
      </c>
      <c r="J40" s="167">
        <f t="shared" si="4"/>
        <v>680.46</v>
      </c>
      <c r="K40" s="170" t="s">
        <v>329</v>
      </c>
    </row>
    <row r="41" spans="2:11" ht="15" thickBot="1" x14ac:dyDescent="0.25">
      <c r="B41" s="171" t="s">
        <v>15</v>
      </c>
      <c r="C41" s="172" t="s">
        <v>102</v>
      </c>
      <c r="D41" s="173" t="s">
        <v>113</v>
      </c>
      <c r="E41" s="174">
        <f>400.028+$D$47*162</f>
        <v>567.04999999999995</v>
      </c>
      <c r="F41" s="175"/>
      <c r="G41" s="156">
        <f t="shared" si="1"/>
        <v>340.22999999999996</v>
      </c>
      <c r="H41" s="176">
        <f>(400)*$D$47</f>
        <v>412.4</v>
      </c>
      <c r="I41" s="174">
        <f>162*$D$47</f>
        <v>167.02199999999999</v>
      </c>
      <c r="J41" s="177">
        <f t="shared" si="4"/>
        <v>919.65199999999982</v>
      </c>
      <c r="K41" s="178" t="s">
        <v>329</v>
      </c>
    </row>
    <row r="42" spans="2:11" x14ac:dyDescent="0.2">
      <c r="C42" s="68"/>
      <c r="D42" s="69"/>
    </row>
    <row r="43" spans="2:11" x14ac:dyDescent="0.2">
      <c r="C43" s="68"/>
      <c r="D43" s="69"/>
    </row>
    <row r="44" spans="2:11" x14ac:dyDescent="0.2">
      <c r="D44" s="64"/>
    </row>
    <row r="45" spans="2:11" x14ac:dyDescent="0.2">
      <c r="D45" s="64"/>
    </row>
    <row r="46" spans="2:11" ht="15" thickBot="1" x14ac:dyDescent="0.25">
      <c r="B46" s="66"/>
      <c r="D46" s="69"/>
    </row>
    <row r="47" spans="2:11" x14ac:dyDescent="0.2">
      <c r="C47" s="179" t="s">
        <v>337</v>
      </c>
      <c r="D47" s="180">
        <v>1.0309999999999999</v>
      </c>
    </row>
    <row r="48" spans="2:11" x14ac:dyDescent="0.2">
      <c r="C48" s="181" t="s">
        <v>338</v>
      </c>
      <c r="D48" s="182">
        <v>0.6</v>
      </c>
    </row>
    <row r="49" spans="3:4" ht="15" thickBot="1" x14ac:dyDescent="0.25">
      <c r="C49" s="183" t="s">
        <v>339</v>
      </c>
      <c r="D49" s="184">
        <v>0.5</v>
      </c>
    </row>
    <row r="50" spans="3:4" x14ac:dyDescent="0.2">
      <c r="C50" s="68"/>
      <c r="D50" s="69"/>
    </row>
    <row r="51" spans="3:4" x14ac:dyDescent="0.2">
      <c r="C51" s="68"/>
      <c r="D51" s="69"/>
    </row>
    <row r="52" spans="3:4" x14ac:dyDescent="0.2">
      <c r="C52" s="68"/>
      <c r="D52" s="69"/>
    </row>
    <row r="53" spans="3:4" x14ac:dyDescent="0.2">
      <c r="C53" s="68"/>
      <c r="D53" s="69"/>
    </row>
    <row r="54" spans="3:4" x14ac:dyDescent="0.2">
      <c r="C54" s="68"/>
      <c r="D54" s="69"/>
    </row>
    <row r="55" spans="3:4" x14ac:dyDescent="0.2">
      <c r="C55" s="68"/>
      <c r="D55" s="69"/>
    </row>
    <row r="56" spans="3:4" x14ac:dyDescent="0.2">
      <c r="D56" s="69"/>
    </row>
    <row r="57" spans="3:4" x14ac:dyDescent="0.2">
      <c r="C57" s="67"/>
      <c r="D57" s="69"/>
    </row>
    <row r="58" spans="3:4" x14ac:dyDescent="0.2">
      <c r="C58" s="68"/>
      <c r="D58" s="69"/>
    </row>
    <row r="59" spans="3:4" x14ac:dyDescent="0.2">
      <c r="C59" s="68"/>
      <c r="D59" s="69"/>
    </row>
    <row r="60" spans="3:4" x14ac:dyDescent="0.2">
      <c r="C60" s="68"/>
      <c r="D60" s="69"/>
    </row>
    <row r="61" spans="3:4" x14ac:dyDescent="0.2">
      <c r="C61" s="68"/>
      <c r="D61" s="69"/>
    </row>
    <row r="62" spans="3:4" x14ac:dyDescent="0.2">
      <c r="C62" s="68"/>
      <c r="D62" s="69"/>
    </row>
    <row r="63" spans="3:4" x14ac:dyDescent="0.2">
      <c r="C63" s="68"/>
      <c r="D63" s="69"/>
    </row>
    <row r="64" spans="3:4" x14ac:dyDescent="0.2">
      <c r="D64" s="69"/>
    </row>
    <row r="65" spans="3:4" x14ac:dyDescent="0.2">
      <c r="C65" s="67"/>
      <c r="D65" s="69"/>
    </row>
    <row r="66" spans="3:4" x14ac:dyDescent="0.2">
      <c r="C66" s="68"/>
      <c r="D66" s="69"/>
    </row>
    <row r="67" spans="3:4" x14ac:dyDescent="0.2">
      <c r="C67" s="68"/>
      <c r="D67" s="69"/>
    </row>
    <row r="68" spans="3:4" x14ac:dyDescent="0.2">
      <c r="C68" s="68"/>
      <c r="D68" s="69"/>
    </row>
    <row r="69" spans="3:4" x14ac:dyDescent="0.2">
      <c r="C69" s="68"/>
      <c r="D69" s="69"/>
    </row>
    <row r="70" spans="3:4" x14ac:dyDescent="0.2">
      <c r="C70" s="68"/>
      <c r="D70" s="69"/>
    </row>
    <row r="71" spans="3:4" x14ac:dyDescent="0.2">
      <c r="C71" s="68"/>
      <c r="D71" s="69"/>
    </row>
  </sheetData>
  <sheetProtection algorithmName="SHA-512" hashValue="caNVLYhrWVz8wCRLo890pSG0Z1EBH8uBd1IZEqy/ExACv2/DXoDqmrRNTZG9SHBc26wTu1GcAm4/F/aB6kwubA==" saltValue="cRHIch28WI+/MKc9C73Kgw==" spinCount="100000" sheet="1" objects="1" scenarios="1"/>
  <mergeCells count="1">
    <mergeCell ref="G12:K12"/>
  </mergeCells>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C7"/>
  <sheetViews>
    <sheetView showGridLines="0" workbookViewId="0"/>
  </sheetViews>
  <sheetFormatPr defaultRowHeight="15" x14ac:dyDescent="0.25"/>
  <cols>
    <col min="3" max="3" width="148.7109375" customWidth="1"/>
  </cols>
  <sheetData>
    <row r="7" spans="3:3" ht="55.9" customHeight="1" x14ac:dyDescent="0.45">
      <c r="C7" s="213" t="s">
        <v>375</v>
      </c>
    </row>
  </sheetData>
  <sheetProtection algorithmName="SHA-512" hashValue="wa73kcSAf+3d10MmUFjUec5fps0H2b1GUQ4qpzsmLLhKV8lx05MZ6cnFQQ1ya6YOCcHJmZ5RaPqHk8ByT6F9ew==" saltValue="/ZvYjTbUPtZDyRF6o48VIg=="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7:V113"/>
  <sheetViews>
    <sheetView showGridLines="0" workbookViewId="0"/>
  </sheetViews>
  <sheetFormatPr defaultRowHeight="15" x14ac:dyDescent="0.25"/>
  <cols>
    <col min="1" max="1" width="14.28515625" customWidth="1"/>
    <col min="2" max="2" width="13.42578125" customWidth="1"/>
    <col min="3" max="3" width="20.42578125" customWidth="1"/>
    <col min="4" max="4" width="16.28515625" customWidth="1"/>
    <col min="5" max="5" width="11.42578125" customWidth="1"/>
    <col min="6" max="6" width="12.5703125" customWidth="1"/>
    <col min="8" max="8" width="12" customWidth="1"/>
    <col min="9" max="9" width="11.28515625" customWidth="1"/>
    <col min="11" max="11" width="12" customWidth="1"/>
    <col min="12" max="12" width="9.7109375" customWidth="1"/>
    <col min="13" max="16" width="13.28515625" customWidth="1"/>
  </cols>
  <sheetData>
    <row r="7" spans="1:9" ht="20.65" x14ac:dyDescent="0.45">
      <c r="B7" s="65" t="s">
        <v>370</v>
      </c>
    </row>
    <row r="10" spans="1:9" ht="14.65" x14ac:dyDescent="0.35">
      <c r="B10" s="233" t="s">
        <v>340</v>
      </c>
      <c r="C10" s="233"/>
      <c r="D10" s="233"/>
      <c r="E10" s="233"/>
      <c r="F10" s="233"/>
    </row>
    <row r="11" spans="1:9" ht="14.65" x14ac:dyDescent="0.35">
      <c r="H11" s="238" t="s">
        <v>341</v>
      </c>
      <c r="I11" s="239"/>
    </row>
    <row r="12" spans="1:9" ht="52.5" x14ac:dyDescent="0.35">
      <c r="B12" s="232" t="s">
        <v>342</v>
      </c>
      <c r="C12" s="232"/>
      <c r="H12" s="186" t="s">
        <v>343</v>
      </c>
      <c r="I12" s="186" t="s">
        <v>381</v>
      </c>
    </row>
    <row r="13" spans="1:9" ht="14.65" x14ac:dyDescent="0.35">
      <c r="B13" s="187" t="s">
        <v>344</v>
      </c>
      <c r="C13" s="187" t="s">
        <v>345</v>
      </c>
      <c r="H13" s="188">
        <v>0</v>
      </c>
      <c r="I13" s="216">
        <f>$F$40*H13^4/4+$F$41*H13^3/3+$F$42*H13^2/2+$F$43*H13</f>
        <v>0</v>
      </c>
    </row>
    <row r="14" spans="1:9" ht="14.65" x14ac:dyDescent="0.35">
      <c r="A14" s="189" t="str">
        <f>"(1)"</f>
        <v>(1)</v>
      </c>
      <c r="B14" s="190">
        <v>0</v>
      </c>
      <c r="C14" s="191">
        <v>0.76</v>
      </c>
      <c r="H14" s="188">
        <v>1</v>
      </c>
      <c r="I14" s="216">
        <f t="shared" ref="I14:I77" si="0">$F$40*H14^4/4+$F$41*H14^3/3+$F$42*H14^2/2+$F$43*H14</f>
        <v>0.77513456999999997</v>
      </c>
    </row>
    <row r="15" spans="1:9" ht="14.65" x14ac:dyDescent="0.35">
      <c r="A15" s="189" t="str">
        <f>"(2)"</f>
        <v>(2)</v>
      </c>
      <c r="B15" s="191">
        <v>25</v>
      </c>
      <c r="C15" s="190" t="s">
        <v>346</v>
      </c>
      <c r="H15" s="188">
        <v>2</v>
      </c>
      <c r="I15" s="216">
        <f t="shared" si="0"/>
        <v>1.5788680336363636</v>
      </c>
    </row>
    <row r="16" spans="1:9" ht="14.65" x14ac:dyDescent="0.35">
      <c r="A16" s="189" t="str">
        <f>"(3)"</f>
        <v>(3)</v>
      </c>
      <c r="B16" s="191">
        <v>80</v>
      </c>
      <c r="C16" s="190" t="s">
        <v>346</v>
      </c>
      <c r="H16" s="188">
        <v>3</v>
      </c>
      <c r="I16" s="216">
        <f t="shared" si="0"/>
        <v>2.4087735075000003</v>
      </c>
    </row>
    <row r="17" spans="1:22" ht="14.65" x14ac:dyDescent="0.35">
      <c r="A17" s="189" t="str">
        <f>"(4)"</f>
        <v>(4)</v>
      </c>
      <c r="B17" s="190">
        <v>100</v>
      </c>
      <c r="C17" s="190" t="s">
        <v>346</v>
      </c>
      <c r="H17" s="188">
        <v>4</v>
      </c>
      <c r="I17" s="216">
        <f t="shared" si="0"/>
        <v>3.2625287563636363</v>
      </c>
    </row>
    <row r="18" spans="1:22" ht="14.65" x14ac:dyDescent="0.35">
      <c r="A18" s="189"/>
      <c r="H18" s="188">
        <v>5</v>
      </c>
      <c r="I18" s="216">
        <f t="shared" si="0"/>
        <v>4.1379161931818178</v>
      </c>
    </row>
    <row r="19" spans="1:22" ht="14.65" x14ac:dyDescent="0.35">
      <c r="A19" s="189"/>
      <c r="B19" s="192" t="s">
        <v>347</v>
      </c>
      <c r="C19" s="187" t="s">
        <v>348</v>
      </c>
      <c r="D19" s="187" t="s">
        <v>349</v>
      </c>
      <c r="E19" s="187" t="s">
        <v>350</v>
      </c>
      <c r="F19" s="187" t="s">
        <v>351</v>
      </c>
      <c r="H19" s="188">
        <v>6</v>
      </c>
      <c r="I19" s="216">
        <f t="shared" si="0"/>
        <v>5.0328228790909098</v>
      </c>
    </row>
    <row r="20" spans="1:22" x14ac:dyDescent="0.25">
      <c r="A20" s="189" t="str">
        <f>"(5)"</f>
        <v>(5)</v>
      </c>
      <c r="B20" s="190" t="s">
        <v>352</v>
      </c>
      <c r="C20" s="4">
        <v>0</v>
      </c>
      <c r="D20" s="4">
        <v>100</v>
      </c>
      <c r="E20" s="193">
        <v>1</v>
      </c>
      <c r="F20" s="194">
        <v>237</v>
      </c>
      <c r="H20" s="188">
        <v>7</v>
      </c>
      <c r="I20" s="216">
        <f t="shared" si="0"/>
        <v>5.9452405234090913</v>
      </c>
    </row>
    <row r="21" spans="1:22" x14ac:dyDescent="0.25">
      <c r="A21" s="189" t="str">
        <f>"(6)"</f>
        <v>(6)</v>
      </c>
      <c r="B21" s="190" t="s">
        <v>352</v>
      </c>
      <c r="C21" s="4">
        <v>0</v>
      </c>
      <c r="D21" s="4">
        <f>B15</f>
        <v>25</v>
      </c>
      <c r="E21" s="195">
        <v>0.1</v>
      </c>
      <c r="F21" s="196">
        <f>$F$20*E21</f>
        <v>23.700000000000003</v>
      </c>
      <c r="H21" s="188">
        <v>8</v>
      </c>
      <c r="I21" s="216">
        <f t="shared" si="0"/>
        <v>6.8732654836363638</v>
      </c>
    </row>
    <row r="22" spans="1:22" x14ac:dyDescent="0.25">
      <c r="A22" s="189" t="str">
        <f>"(7)"</f>
        <v>(7)</v>
      </c>
      <c r="B22" s="190" t="s">
        <v>352</v>
      </c>
      <c r="C22" s="4">
        <f>B15</f>
        <v>25</v>
      </c>
      <c r="D22" s="4">
        <f>B16</f>
        <v>80</v>
      </c>
      <c r="E22" s="195">
        <v>0.4</v>
      </c>
      <c r="F22" s="196">
        <f t="shared" ref="F22:F23" si="1">$F$20*E22</f>
        <v>94.800000000000011</v>
      </c>
      <c r="H22" s="188">
        <v>9</v>
      </c>
      <c r="I22" s="216">
        <f t="shared" si="0"/>
        <v>7.8150987654545458</v>
      </c>
    </row>
    <row r="23" spans="1:22" x14ac:dyDescent="0.25">
      <c r="A23" s="189" t="str">
        <f>"(8)"</f>
        <v>(8)</v>
      </c>
      <c r="B23" s="190" t="s">
        <v>352</v>
      </c>
      <c r="C23" s="4">
        <f>B16</f>
        <v>80</v>
      </c>
      <c r="D23" s="4">
        <v>100</v>
      </c>
      <c r="E23" s="195">
        <f>1-E22-E21</f>
        <v>0.5</v>
      </c>
      <c r="F23" s="196">
        <f t="shared" si="1"/>
        <v>118.5</v>
      </c>
      <c r="H23" s="188">
        <v>10</v>
      </c>
      <c r="I23" s="216">
        <f t="shared" si="0"/>
        <v>8.7690460227272737</v>
      </c>
    </row>
    <row r="24" spans="1:22" ht="14.65" x14ac:dyDescent="0.35">
      <c r="B24" s="234" t="str">
        <f>IF(OR(SUM($F$21:$F$23)&lt;$F$20,SUM($F$21:$F$23)&gt;$F$20),"Area does not equate to 100%","")</f>
        <v/>
      </c>
      <c r="C24" s="235"/>
      <c r="D24" s="235"/>
      <c r="E24" s="235"/>
      <c r="F24" s="236"/>
      <c r="H24" s="188">
        <v>11</v>
      </c>
      <c r="I24" s="216">
        <f t="shared" si="0"/>
        <v>9.7335175575000008</v>
      </c>
    </row>
    <row r="25" spans="1:22" ht="14.65" x14ac:dyDescent="0.35">
      <c r="B25" s="197"/>
      <c r="E25" s="198"/>
      <c r="F25" s="30"/>
      <c r="H25" s="188">
        <v>12</v>
      </c>
      <c r="I25" s="216">
        <f t="shared" si="0"/>
        <v>10.707028320000001</v>
      </c>
    </row>
    <row r="26" spans="1:22" ht="15.4" x14ac:dyDescent="0.35">
      <c r="B26" s="199" t="s">
        <v>353</v>
      </c>
      <c r="C26" s="200" t="s">
        <v>354</v>
      </c>
      <c r="E26" s="189" t="s">
        <v>355</v>
      </c>
      <c r="H26" s="188">
        <v>13</v>
      </c>
      <c r="I26" s="216">
        <f t="shared" si="0"/>
        <v>11.688197908636365</v>
      </c>
    </row>
    <row r="27" spans="1:22" ht="14.65" x14ac:dyDescent="0.35">
      <c r="E27" s="189" t="s">
        <v>356</v>
      </c>
      <c r="F27" s="201">
        <f>C14</f>
        <v>0.76</v>
      </c>
      <c r="H27" s="188">
        <v>14</v>
      </c>
      <c r="I27" s="216">
        <f t="shared" si="0"/>
        <v>12.675750570000002</v>
      </c>
    </row>
    <row r="28" spans="1:22" ht="14.65" x14ac:dyDescent="0.35">
      <c r="H28" s="188">
        <v>15</v>
      </c>
      <c r="I28" s="216">
        <f t="shared" si="0"/>
        <v>13.668515198863638</v>
      </c>
    </row>
    <row r="29" spans="1:22" ht="14.45" x14ac:dyDescent="0.3">
      <c r="B29" s="237" t="s">
        <v>357</v>
      </c>
      <c r="C29" s="237"/>
      <c r="D29" s="237"/>
      <c r="E29" s="237"/>
      <c r="F29" s="237"/>
      <c r="H29" s="188">
        <v>16</v>
      </c>
      <c r="I29" s="216">
        <f t="shared" si="0"/>
        <v>14.665425338181819</v>
      </c>
    </row>
    <row r="30" spans="1:22" ht="14.45" x14ac:dyDescent="0.3">
      <c r="B30" s="200" t="s">
        <v>358</v>
      </c>
      <c r="F30" s="200" t="s">
        <v>359</v>
      </c>
      <c r="H30" s="188">
        <v>17</v>
      </c>
      <c r="I30" s="216">
        <f t="shared" si="0"/>
        <v>15.665519179090911</v>
      </c>
    </row>
    <row r="31" spans="1:22" ht="14.45" x14ac:dyDescent="0.3">
      <c r="A31" s="189" t="str">
        <f>"(6)"</f>
        <v>(6)</v>
      </c>
      <c r="B31" s="202">
        <f>$D$21^4/4</f>
        <v>97656.25</v>
      </c>
      <c r="C31" s="203">
        <f>$D$21^3/3</f>
        <v>5208.333333333333</v>
      </c>
      <c r="D31" s="204">
        <f>$D$21^2/2</f>
        <v>312.5</v>
      </c>
      <c r="F31" s="205">
        <f>F21-$C$14*D21</f>
        <v>4.7000000000000028</v>
      </c>
      <c r="H31" s="188">
        <v>18</v>
      </c>
      <c r="I31" s="216">
        <f t="shared" si="0"/>
        <v>16.66793956090909</v>
      </c>
    </row>
    <row r="32" spans="1:22" ht="14.45" x14ac:dyDescent="0.3">
      <c r="A32" s="189" t="str">
        <f>"(7)"</f>
        <v>(7)</v>
      </c>
      <c r="B32" s="202">
        <f>$D$22^4/4-$C$22^4/4</f>
        <v>10142343.75</v>
      </c>
      <c r="C32" s="203">
        <f>$D$22^3/3-$C$22^3/3</f>
        <v>165458.33333333331</v>
      </c>
      <c r="D32" s="204">
        <f>$D$22^2/2-$C$22^2/2</f>
        <v>2887.5</v>
      </c>
      <c r="F32" s="205">
        <f>F22-$C$14*D22+$C$14*C22</f>
        <v>53.000000000000014</v>
      </c>
      <c r="H32" s="188">
        <v>19</v>
      </c>
      <c r="I32" s="216">
        <f t="shared" si="0"/>
        <v>17.671933971136365</v>
      </c>
      <c r="L32" s="231"/>
      <c r="M32" s="231"/>
      <c r="N32" s="231"/>
      <c r="O32" s="231"/>
      <c r="P32" s="231"/>
      <c r="Q32" s="231"/>
      <c r="R32" s="231"/>
      <c r="S32" s="231"/>
      <c r="T32" s="231"/>
      <c r="U32" s="231"/>
      <c r="V32" s="231"/>
    </row>
    <row r="33" spans="1:22" ht="14.45" x14ac:dyDescent="0.3">
      <c r="A33" s="189" t="str">
        <f>"(8)"</f>
        <v>(8)</v>
      </c>
      <c r="B33" s="202">
        <f>$D$23^4/4-$C$23^4/4</f>
        <v>14760000</v>
      </c>
      <c r="C33" s="203">
        <f>$D$23^3/3-$C$23^3/3</f>
        <v>162666.66666666666</v>
      </c>
      <c r="D33" s="204">
        <f>$D$23^2/2-$C$23^2/2</f>
        <v>1800</v>
      </c>
      <c r="F33" s="205">
        <f>F23-$C$14*D23+$C$14*C23</f>
        <v>103.3</v>
      </c>
      <c r="H33" s="188">
        <v>20</v>
      </c>
      <c r="I33" s="216">
        <f t="shared" si="0"/>
        <v>18.676854545454546</v>
      </c>
    </row>
    <row r="34" spans="1:22" ht="14.45" x14ac:dyDescent="0.3">
      <c r="H34" s="188">
        <v>21</v>
      </c>
      <c r="I34" s="216">
        <f t="shared" si="0"/>
        <v>19.682158067727276</v>
      </c>
    </row>
    <row r="35" spans="1:22" x14ac:dyDescent="0.25">
      <c r="B35" s="200" t="s">
        <v>360</v>
      </c>
      <c r="F35" s="200" t="s">
        <v>361</v>
      </c>
      <c r="H35" s="188">
        <v>22</v>
      </c>
      <c r="I35" s="216">
        <f t="shared" si="0"/>
        <v>20.68740597</v>
      </c>
      <c r="M35" s="231"/>
      <c r="N35" s="231"/>
      <c r="O35" s="231"/>
      <c r="P35" s="231"/>
      <c r="Q35" s="231"/>
      <c r="R35" s="231"/>
      <c r="S35" s="231"/>
      <c r="T35" s="231"/>
      <c r="U35" s="231"/>
      <c r="V35" s="231"/>
    </row>
    <row r="36" spans="1:22" x14ac:dyDescent="0.25">
      <c r="B36" s="206">
        <f t="array" ref="B36:D38">MINVERSE(B31:D33)</f>
        <v>1.2500000000000001E-6</v>
      </c>
      <c r="C36" s="207">
        <v>-3.0151515151515152E-7</v>
      </c>
      <c r="D36" s="208">
        <v>2.6666666666666667E-7</v>
      </c>
      <c r="F36" s="209">
        <f t="array" ref="F36:F38">MMULT(B36:D38,F31:F33)</f>
        <v>1.7441363636363633E-5</v>
      </c>
      <c r="H36" s="188">
        <v>23</v>
      </c>
      <c r="I36" s="216">
        <f t="shared" si="0"/>
        <v>21.692264332500002</v>
      </c>
      <c r="M36" s="231"/>
      <c r="N36" s="231"/>
      <c r="O36" s="231"/>
      <c r="P36" s="231"/>
      <c r="Q36" s="231"/>
      <c r="R36" s="231"/>
      <c r="S36" s="231"/>
      <c r="T36" s="231"/>
      <c r="U36" s="231"/>
      <c r="V36" s="231"/>
    </row>
    <row r="37" spans="1:22" x14ac:dyDescent="0.25">
      <c r="B37" s="206">
        <v>-1.7718750000000004E-4</v>
      </c>
      <c r="C37" s="207">
        <v>3.2267045454545463E-5</v>
      </c>
      <c r="D37" s="208">
        <v>-2.1000000000000006E-5</v>
      </c>
      <c r="F37" s="209">
        <v>-1.2919278409090911E-3</v>
      </c>
      <c r="H37" s="188">
        <v>24</v>
      </c>
      <c r="I37" s="216">
        <f t="shared" si="0"/>
        <v>22.696503883636368</v>
      </c>
      <c r="M37" s="231"/>
      <c r="N37" s="231"/>
      <c r="O37" s="231"/>
      <c r="P37" s="231"/>
      <c r="Q37" s="231"/>
      <c r="R37" s="231"/>
      <c r="S37" s="231"/>
      <c r="T37" s="231"/>
      <c r="U37" s="231"/>
      <c r="V37" s="231"/>
    </row>
    <row r="38" spans="1:22" x14ac:dyDescent="0.25">
      <c r="B38" s="206">
        <v>5.7625000000000003E-3</v>
      </c>
      <c r="C38" s="207">
        <v>-4.4356060606060607E-4</v>
      </c>
      <c r="D38" s="208">
        <v>2.6666666666666668E-4</v>
      </c>
      <c r="F38" s="209">
        <v>3.1121704545454557E-2</v>
      </c>
      <c r="H38" s="188">
        <v>25</v>
      </c>
      <c r="I38" s="216">
        <f t="shared" si="0"/>
        <v>23.700000000000003</v>
      </c>
      <c r="M38" s="231"/>
      <c r="N38" s="231"/>
      <c r="O38" s="231"/>
      <c r="P38" s="231"/>
      <c r="Q38" s="231"/>
      <c r="R38" s="231"/>
      <c r="S38" s="231"/>
      <c r="T38" s="231"/>
      <c r="U38" s="231"/>
      <c r="V38" s="231"/>
    </row>
    <row r="39" spans="1:22" x14ac:dyDescent="0.25">
      <c r="H39" s="188">
        <v>26</v>
      </c>
      <c r="I39" s="216">
        <f t="shared" si="0"/>
        <v>24.702732706363641</v>
      </c>
    </row>
    <row r="40" spans="1:22" x14ac:dyDescent="0.25">
      <c r="B40" s="200" t="s">
        <v>362</v>
      </c>
      <c r="C40" s="210" t="s">
        <v>363</v>
      </c>
      <c r="D40" s="200" t="s">
        <v>364</v>
      </c>
      <c r="E40" s="189" t="s">
        <v>365</v>
      </c>
      <c r="F40">
        <f>F36</f>
        <v>1.7441363636363633E-5</v>
      </c>
      <c r="H40" s="188">
        <v>27</v>
      </c>
      <c r="I40" s="216">
        <f t="shared" si="0"/>
        <v>25.70478667568182</v>
      </c>
    </row>
    <row r="41" spans="1:22" x14ac:dyDescent="0.25">
      <c r="C41" s="200"/>
      <c r="E41" s="189" t="s">
        <v>366</v>
      </c>
      <c r="F41">
        <f>F37</f>
        <v>-1.2919278409090911E-3</v>
      </c>
      <c r="H41" s="188">
        <v>28</v>
      </c>
      <c r="I41" s="216">
        <f t="shared" si="0"/>
        <v>26.706351229090913</v>
      </c>
    </row>
    <row r="42" spans="1:22" x14ac:dyDescent="0.25">
      <c r="E42" s="189" t="s">
        <v>367</v>
      </c>
      <c r="F42">
        <f>F38</f>
        <v>3.1121704545454557E-2</v>
      </c>
      <c r="H42" s="188">
        <v>29</v>
      </c>
      <c r="I42" s="216">
        <f t="shared" si="0"/>
        <v>27.707720335909094</v>
      </c>
    </row>
    <row r="43" spans="1:22" x14ac:dyDescent="0.25">
      <c r="E43" s="189" t="s">
        <v>368</v>
      </c>
      <c r="F43">
        <f>C14</f>
        <v>0.76</v>
      </c>
      <c r="H43" s="188">
        <v>30</v>
      </c>
      <c r="I43" s="216">
        <f t="shared" si="0"/>
        <v>28.709292613636364</v>
      </c>
    </row>
    <row r="44" spans="1:22" x14ac:dyDescent="0.25">
      <c r="H44" s="188">
        <v>31</v>
      </c>
      <c r="I44" s="216">
        <f t="shared" si="0"/>
        <v>29.711571327954545</v>
      </c>
    </row>
    <row r="45" spans="1:22" x14ac:dyDescent="0.25">
      <c r="B45" s="232" t="s">
        <v>369</v>
      </c>
      <c r="C45" s="232"/>
      <c r="H45" s="188">
        <v>32</v>
      </c>
      <c r="I45" s="216">
        <f t="shared" si="0"/>
        <v>30.715164392727274</v>
      </c>
    </row>
    <row r="46" spans="1:22" x14ac:dyDescent="0.25">
      <c r="B46" s="187" t="s">
        <v>344</v>
      </c>
      <c r="C46" s="187" t="s">
        <v>345</v>
      </c>
      <c r="H46" s="188">
        <v>33</v>
      </c>
      <c r="I46" s="216">
        <f t="shared" si="0"/>
        <v>31.720784370000004</v>
      </c>
    </row>
    <row r="47" spans="1:22" x14ac:dyDescent="0.25">
      <c r="A47" s="189" t="str">
        <f>"(1)"</f>
        <v>(1)</v>
      </c>
      <c r="B47" s="211">
        <v>0</v>
      </c>
      <c r="C47" s="212">
        <f>$F$36*B47^3+$F$37*B47^2+$F$38*B47+$F$43</f>
        <v>0.76</v>
      </c>
      <c r="H47" s="188">
        <v>34</v>
      </c>
      <c r="I47" s="216">
        <f t="shared" si="0"/>
        <v>32.729248470000002</v>
      </c>
    </row>
    <row r="48" spans="1:22" x14ac:dyDescent="0.25">
      <c r="A48" s="189" t="str">
        <f>"(2)"</f>
        <v>(2)</v>
      </c>
      <c r="B48" s="211">
        <f>B15</f>
        <v>25</v>
      </c>
      <c r="C48" s="212">
        <f t="shared" ref="C48:C50" si="2">$F$36*B48^3+$F$37*B48^2+$F$38*B48+$F$43</f>
        <v>1.0031090198863639</v>
      </c>
      <c r="H48" s="188">
        <v>35</v>
      </c>
      <c r="I48" s="216">
        <f t="shared" si="0"/>
        <v>33.741478551136368</v>
      </c>
    </row>
    <row r="49" spans="1:9" x14ac:dyDescent="0.25">
      <c r="A49" s="189" t="str">
        <f>"(3)"</f>
        <v>(3)</v>
      </c>
      <c r="B49" s="211">
        <f>B16</f>
        <v>80</v>
      </c>
      <c r="C49" s="212">
        <f t="shared" si="2"/>
        <v>3.9113763636363608</v>
      </c>
      <c r="H49" s="188">
        <v>36</v>
      </c>
      <c r="I49" s="216">
        <f t="shared" si="0"/>
        <v>34.758501120000005</v>
      </c>
    </row>
    <row r="50" spans="1:9" x14ac:dyDescent="0.25">
      <c r="A50" s="189" t="str">
        <f>"(4)"</f>
        <v>(4)</v>
      </c>
      <c r="B50" s="211">
        <v>100</v>
      </c>
      <c r="C50" s="212">
        <f t="shared" si="2"/>
        <v>8.3942556818181782</v>
      </c>
      <c r="H50" s="188">
        <v>37</v>
      </c>
      <c r="I50" s="216">
        <f t="shared" si="0"/>
        <v>35.781447331363644</v>
      </c>
    </row>
    <row r="51" spans="1:9" x14ac:dyDescent="0.25">
      <c r="H51" s="188">
        <v>38</v>
      </c>
      <c r="I51" s="216">
        <f t="shared" si="0"/>
        <v>36.811552988181816</v>
      </c>
    </row>
    <row r="52" spans="1:9" x14ac:dyDescent="0.25">
      <c r="H52" s="188">
        <v>39</v>
      </c>
      <c r="I52" s="216">
        <f t="shared" si="0"/>
        <v>37.850158541590915</v>
      </c>
    </row>
    <row r="53" spans="1:9" x14ac:dyDescent="0.25">
      <c r="H53" s="188">
        <v>40</v>
      </c>
      <c r="I53" s="216">
        <f t="shared" si="0"/>
        <v>38.898709090909094</v>
      </c>
    </row>
    <row r="54" spans="1:9" x14ac:dyDescent="0.25">
      <c r="H54" s="188">
        <v>41</v>
      </c>
      <c r="I54" s="216">
        <f t="shared" si="0"/>
        <v>39.958754383636368</v>
      </c>
    </row>
    <row r="55" spans="1:9" x14ac:dyDescent="0.25">
      <c r="H55" s="188">
        <v>42</v>
      </c>
      <c r="I55" s="216">
        <f t="shared" si="0"/>
        <v>41.031948815454555</v>
      </c>
    </row>
    <row r="56" spans="1:9" x14ac:dyDescent="0.25">
      <c r="H56" s="188">
        <v>43</v>
      </c>
      <c r="I56" s="216">
        <f t="shared" si="0"/>
        <v>42.120051430227278</v>
      </c>
    </row>
    <row r="57" spans="1:9" x14ac:dyDescent="0.25">
      <c r="H57" s="188">
        <v>44</v>
      </c>
      <c r="I57" s="216">
        <f t="shared" si="0"/>
        <v>43.224925920000004</v>
      </c>
    </row>
    <row r="58" spans="1:9" x14ac:dyDescent="0.25">
      <c r="H58" s="188">
        <v>45</v>
      </c>
      <c r="I58" s="216">
        <f t="shared" si="0"/>
        <v>44.348540625000005</v>
      </c>
    </row>
    <row r="59" spans="1:9" x14ac:dyDescent="0.25">
      <c r="H59" s="188">
        <v>46</v>
      </c>
      <c r="I59" s="216">
        <f t="shared" si="0"/>
        <v>45.492968533636372</v>
      </c>
    </row>
    <row r="60" spans="1:9" x14ac:dyDescent="0.25">
      <c r="H60" s="188">
        <v>47</v>
      </c>
      <c r="I60" s="216">
        <f t="shared" si="0"/>
        <v>46.660387282499997</v>
      </c>
    </row>
    <row r="61" spans="1:9" x14ac:dyDescent="0.25">
      <c r="H61" s="188">
        <v>48</v>
      </c>
      <c r="I61" s="216">
        <f t="shared" si="0"/>
        <v>47.853079156363634</v>
      </c>
    </row>
    <row r="62" spans="1:9" x14ac:dyDescent="0.25">
      <c r="H62" s="188">
        <v>49</v>
      </c>
      <c r="I62" s="216">
        <f t="shared" si="0"/>
        <v>49.07343108818182</v>
      </c>
    </row>
    <row r="63" spans="1:9" x14ac:dyDescent="0.25">
      <c r="H63" s="188">
        <v>50</v>
      </c>
      <c r="I63" s="216">
        <f t="shared" si="0"/>
        <v>50.323934659090909</v>
      </c>
    </row>
    <row r="64" spans="1:9" x14ac:dyDescent="0.25">
      <c r="H64" s="188">
        <v>51</v>
      </c>
      <c r="I64" s="216">
        <f t="shared" si="0"/>
        <v>51.607186098409095</v>
      </c>
    </row>
    <row r="65" spans="8:9" x14ac:dyDescent="0.25">
      <c r="H65" s="188">
        <v>52</v>
      </c>
      <c r="I65" s="216">
        <f t="shared" si="0"/>
        <v>52.925886283636359</v>
      </c>
    </row>
    <row r="66" spans="8:9" x14ac:dyDescent="0.25">
      <c r="H66" s="188">
        <v>53</v>
      </c>
      <c r="I66" s="216">
        <f t="shared" si="0"/>
        <v>54.282840740454546</v>
      </c>
    </row>
    <row r="67" spans="8:9" x14ac:dyDescent="0.25">
      <c r="H67" s="188">
        <v>54</v>
      </c>
      <c r="I67" s="216">
        <f t="shared" si="0"/>
        <v>55.680959642727274</v>
      </c>
    </row>
    <row r="68" spans="8:9" x14ac:dyDescent="0.25">
      <c r="H68" s="188">
        <v>55</v>
      </c>
      <c r="I68" s="216">
        <f t="shared" si="0"/>
        <v>57.123257812499993</v>
      </c>
    </row>
    <row r="69" spans="8:9" x14ac:dyDescent="0.25">
      <c r="H69" s="188">
        <v>56</v>
      </c>
      <c r="I69" s="216">
        <f t="shared" si="0"/>
        <v>58.612854719999994</v>
      </c>
    </row>
    <row r="70" spans="8:9" x14ac:dyDescent="0.25">
      <c r="H70" s="188">
        <v>57</v>
      </c>
      <c r="I70" s="216">
        <f t="shared" si="0"/>
        <v>60.15297448363637</v>
      </c>
    </row>
    <row r="71" spans="8:9" x14ac:dyDescent="0.25">
      <c r="H71" s="188">
        <v>58</v>
      </c>
      <c r="I71" s="216">
        <f t="shared" si="0"/>
        <v>61.746945869999998</v>
      </c>
    </row>
    <row r="72" spans="8:9" x14ac:dyDescent="0.25">
      <c r="H72" s="188">
        <v>59</v>
      </c>
      <c r="I72" s="216">
        <f t="shared" si="0"/>
        <v>63.398202293863633</v>
      </c>
    </row>
    <row r="73" spans="8:9" x14ac:dyDescent="0.25">
      <c r="H73" s="188">
        <v>60</v>
      </c>
      <c r="I73" s="216">
        <f t="shared" si="0"/>
        <v>65.110281818181818</v>
      </c>
    </row>
    <row r="74" spans="8:9" x14ac:dyDescent="0.25">
      <c r="H74" s="188">
        <v>61</v>
      </c>
      <c r="I74" s="216">
        <f t="shared" si="0"/>
        <v>66.886827154090909</v>
      </c>
    </row>
    <row r="75" spans="8:9" x14ac:dyDescent="0.25">
      <c r="H75" s="188">
        <v>62</v>
      </c>
      <c r="I75" s="216">
        <f t="shared" si="0"/>
        <v>68.731585660909076</v>
      </c>
    </row>
    <row r="76" spans="8:9" x14ac:dyDescent="0.25">
      <c r="H76" s="188">
        <v>63</v>
      </c>
      <c r="I76" s="216">
        <f t="shared" si="0"/>
        <v>70.648409346136361</v>
      </c>
    </row>
    <row r="77" spans="8:9" x14ac:dyDescent="0.25">
      <c r="H77" s="188">
        <v>64</v>
      </c>
      <c r="I77" s="216">
        <f t="shared" si="0"/>
        <v>72.641254865454542</v>
      </c>
    </row>
    <row r="78" spans="8:9" x14ac:dyDescent="0.25">
      <c r="H78" s="188">
        <v>65</v>
      </c>
      <c r="I78" s="216">
        <f t="shared" ref="I78:I113" si="3">$F$40*H78^4/4+$F$41*H78^3/3+$F$42*H78^2/2+$F$43*H78</f>
        <v>74.714183522727268</v>
      </c>
    </row>
    <row r="79" spans="8:9" x14ac:dyDescent="0.25">
      <c r="H79" s="188">
        <v>66</v>
      </c>
      <c r="I79" s="216">
        <f t="shared" si="3"/>
        <v>76.871361269999994</v>
      </c>
    </row>
    <row r="80" spans="8:9" x14ac:dyDescent="0.25">
      <c r="H80" s="188">
        <v>67</v>
      </c>
      <c r="I80" s="216">
        <f t="shared" si="3"/>
        <v>79.117058707500007</v>
      </c>
    </row>
    <row r="81" spans="8:9" x14ac:dyDescent="0.25">
      <c r="H81" s="188">
        <v>68</v>
      </c>
      <c r="I81" s="216">
        <f t="shared" si="3"/>
        <v>81.455651083636383</v>
      </c>
    </row>
    <row r="82" spans="8:9" x14ac:dyDescent="0.25">
      <c r="H82" s="188">
        <v>69</v>
      </c>
      <c r="I82" s="216">
        <f t="shared" si="3"/>
        <v>83.891618295000001</v>
      </c>
    </row>
    <row r="83" spans="8:9" x14ac:dyDescent="0.25">
      <c r="H83" s="188">
        <v>70</v>
      </c>
      <c r="I83" s="216">
        <f t="shared" si="3"/>
        <v>86.429544886363644</v>
      </c>
    </row>
    <row r="84" spans="8:9" x14ac:dyDescent="0.25">
      <c r="H84" s="188">
        <v>71</v>
      </c>
      <c r="I84" s="216">
        <f t="shared" si="3"/>
        <v>89.074120050681813</v>
      </c>
    </row>
    <row r="85" spans="8:9" x14ac:dyDescent="0.25">
      <c r="H85" s="188">
        <v>72</v>
      </c>
      <c r="I85" s="216">
        <f t="shared" si="3"/>
        <v>91.830137629090885</v>
      </c>
    </row>
    <row r="86" spans="8:9" x14ac:dyDescent="0.25">
      <c r="H86" s="188">
        <v>73</v>
      </c>
      <c r="I86" s="216">
        <f t="shared" si="3"/>
        <v>94.702496110909081</v>
      </c>
    </row>
    <row r="87" spans="8:9" x14ac:dyDescent="0.25">
      <c r="H87" s="188">
        <v>74</v>
      </c>
      <c r="I87" s="216">
        <f t="shared" si="3"/>
        <v>97.696198633636357</v>
      </c>
    </row>
    <row r="88" spans="8:9" x14ac:dyDescent="0.25">
      <c r="H88" s="188">
        <v>75</v>
      </c>
      <c r="I88" s="216">
        <f t="shared" si="3"/>
        <v>100.81635298295453</v>
      </c>
    </row>
    <row r="89" spans="8:9" x14ac:dyDescent="0.25">
      <c r="H89" s="188">
        <v>76</v>
      </c>
      <c r="I89" s="216">
        <f t="shared" si="3"/>
        <v>104.06817159272725</v>
      </c>
    </row>
    <row r="90" spans="8:9" x14ac:dyDescent="0.25">
      <c r="H90" s="188">
        <v>77</v>
      </c>
      <c r="I90" s="216">
        <f t="shared" si="3"/>
        <v>107.45697154499999</v>
      </c>
    </row>
    <row r="91" spans="8:9" x14ac:dyDescent="0.25">
      <c r="H91" s="188">
        <v>78</v>
      </c>
      <c r="I91" s="216">
        <f t="shared" si="3"/>
        <v>110.98817456999997</v>
      </c>
    </row>
    <row r="92" spans="8:9" x14ac:dyDescent="0.25">
      <c r="H92" s="188">
        <v>79</v>
      </c>
      <c r="I92" s="216">
        <f t="shared" si="3"/>
        <v>114.6673070461363</v>
      </c>
    </row>
    <row r="93" spans="8:9" x14ac:dyDescent="0.25">
      <c r="H93" s="188">
        <v>80</v>
      </c>
      <c r="I93" s="216">
        <f t="shared" si="3"/>
        <v>118.49999999999997</v>
      </c>
    </row>
    <row r="94" spans="8:9" x14ac:dyDescent="0.25">
      <c r="H94" s="188">
        <v>81</v>
      </c>
      <c r="I94" s="216">
        <f t="shared" si="3"/>
        <v>122.49198910636362</v>
      </c>
    </row>
    <row r="95" spans="8:9" x14ac:dyDescent="0.25">
      <c r="H95" s="188">
        <v>82</v>
      </c>
      <c r="I95" s="216">
        <f t="shared" si="3"/>
        <v>126.64911468818178</v>
      </c>
    </row>
    <row r="96" spans="8:9" x14ac:dyDescent="0.25">
      <c r="H96" s="188">
        <v>83</v>
      </c>
      <c r="I96" s="216">
        <f t="shared" si="3"/>
        <v>130.97732171659089</v>
      </c>
    </row>
    <row r="97" spans="8:9" x14ac:dyDescent="0.25">
      <c r="H97" s="188">
        <v>84</v>
      </c>
      <c r="I97" s="216">
        <f t="shared" si="3"/>
        <v>135.48265981090907</v>
      </c>
    </row>
    <row r="98" spans="8:9" x14ac:dyDescent="0.25">
      <c r="H98" s="188">
        <v>85</v>
      </c>
      <c r="I98" s="216">
        <f t="shared" si="3"/>
        <v>140.17128323863631</v>
      </c>
    </row>
    <row r="99" spans="8:9" x14ac:dyDescent="0.25">
      <c r="H99" s="188">
        <v>86</v>
      </c>
      <c r="I99" s="216">
        <f t="shared" si="3"/>
        <v>145.04945091545449</v>
      </c>
    </row>
    <row r="100" spans="8:9" x14ac:dyDescent="0.25">
      <c r="H100" s="188">
        <v>87</v>
      </c>
      <c r="I100" s="216">
        <f t="shared" si="3"/>
        <v>150.12352640522724</v>
      </c>
    </row>
    <row r="101" spans="8:9" x14ac:dyDescent="0.25">
      <c r="H101" s="188">
        <v>88</v>
      </c>
      <c r="I101" s="216">
        <f t="shared" si="3"/>
        <v>155.39997791999997</v>
      </c>
    </row>
    <row r="102" spans="8:9" x14ac:dyDescent="0.25">
      <c r="H102" s="188">
        <v>89</v>
      </c>
      <c r="I102" s="216">
        <f t="shared" si="3"/>
        <v>160.88537831999992</v>
      </c>
    </row>
    <row r="103" spans="8:9" x14ac:dyDescent="0.25">
      <c r="H103" s="188">
        <v>90</v>
      </c>
      <c r="I103" s="216">
        <f t="shared" si="3"/>
        <v>166.58640511363632</v>
      </c>
    </row>
    <row r="104" spans="8:9" x14ac:dyDescent="0.25">
      <c r="H104" s="188">
        <v>91</v>
      </c>
      <c r="I104" s="216">
        <f t="shared" si="3"/>
        <v>172.50984045749996</v>
      </c>
    </row>
    <row r="105" spans="8:9" x14ac:dyDescent="0.25">
      <c r="H105" s="188">
        <v>92</v>
      </c>
      <c r="I105" s="216">
        <f t="shared" si="3"/>
        <v>178.66257115636358</v>
      </c>
    </row>
    <row r="106" spans="8:9" x14ac:dyDescent="0.25">
      <c r="H106" s="188">
        <v>93</v>
      </c>
      <c r="I106" s="216">
        <f t="shared" si="3"/>
        <v>185.05158866318175</v>
      </c>
    </row>
    <row r="107" spans="8:9" x14ac:dyDescent="0.25">
      <c r="H107" s="188">
        <v>94</v>
      </c>
      <c r="I107" s="216">
        <f t="shared" si="3"/>
        <v>191.68398907909082</v>
      </c>
    </row>
    <row r="108" spans="8:9" x14ac:dyDescent="0.25">
      <c r="H108" s="188">
        <v>95</v>
      </c>
      <c r="I108" s="216">
        <f t="shared" si="3"/>
        <v>198.56697315340904</v>
      </c>
    </row>
    <row r="109" spans="8:9" x14ac:dyDescent="0.25">
      <c r="H109" s="188">
        <v>96</v>
      </c>
      <c r="I109" s="216">
        <f t="shared" si="3"/>
        <v>205.70784628363629</v>
      </c>
    </row>
    <row r="110" spans="8:9" x14ac:dyDescent="0.25">
      <c r="H110" s="188">
        <v>97</v>
      </c>
      <c r="I110" s="216">
        <f t="shared" si="3"/>
        <v>213.11401851545452</v>
      </c>
    </row>
    <row r="111" spans="8:9" x14ac:dyDescent="0.25">
      <c r="H111" s="188">
        <v>98</v>
      </c>
      <c r="I111" s="216">
        <f t="shared" si="3"/>
        <v>220.7930045427272</v>
      </c>
    </row>
    <row r="112" spans="8:9" x14ac:dyDescent="0.25">
      <c r="H112" s="188">
        <v>99</v>
      </c>
      <c r="I112" s="216">
        <f t="shared" si="3"/>
        <v>228.75242370749993</v>
      </c>
    </row>
    <row r="113" spans="8:11" x14ac:dyDescent="0.25">
      <c r="H113" s="188">
        <v>100</v>
      </c>
      <c r="I113" s="216">
        <f t="shared" si="3"/>
        <v>236.99999999999989</v>
      </c>
      <c r="K113" s="30"/>
    </row>
  </sheetData>
  <sheetProtection algorithmName="SHA-512" hashValue="X5PtuTAdUUs1w1p+pOMMhHbnn4xGcSPuWbWdwTKSGor6oPRNr8qPhGx/fR/MBsgcqJpxN+5EN0j9NTbwJOjsqQ==" saltValue="a7QB4KaYjbIQNSANGdC9Fw==" spinCount="100000" sheet="1" objects="1" scenarios="1"/>
  <mergeCells count="9">
    <mergeCell ref="M35:V36"/>
    <mergeCell ref="M37:V38"/>
    <mergeCell ref="B45:C45"/>
    <mergeCell ref="B10:F10"/>
    <mergeCell ref="B12:C12"/>
    <mergeCell ref="B24:F24"/>
    <mergeCell ref="B29:F29"/>
    <mergeCell ref="L32:V32"/>
    <mergeCell ref="H11:I11"/>
  </mergeCells>
  <conditionalFormatting sqref="F21:F23">
    <cfRule type="expression" dxfId="2" priority="1">
      <formula>OR(SUM($F$21:$F$23)&lt;$F$20,SUM($F$21:$F$23)&gt;$F$20)</formula>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7:V113"/>
  <sheetViews>
    <sheetView showGridLines="0" workbookViewId="0">
      <selection activeCell="K12" sqref="K12"/>
    </sheetView>
  </sheetViews>
  <sheetFormatPr defaultRowHeight="15" x14ac:dyDescent="0.25"/>
  <cols>
    <col min="1" max="1" width="14.28515625" customWidth="1"/>
    <col min="2" max="2" width="13.42578125" customWidth="1"/>
    <col min="3" max="3" width="20.42578125" customWidth="1"/>
    <col min="4" max="4" width="16.28515625" customWidth="1"/>
    <col min="5" max="5" width="11.42578125" customWidth="1"/>
    <col min="6" max="6" width="12.5703125" customWidth="1"/>
    <col min="8" max="8" width="12" customWidth="1"/>
    <col min="9" max="9" width="11.28515625" customWidth="1"/>
    <col min="11" max="11" width="12" customWidth="1"/>
    <col min="12" max="12" width="7.5703125" customWidth="1"/>
    <col min="13" max="16" width="13.28515625" customWidth="1"/>
  </cols>
  <sheetData>
    <row r="7" spans="1:9" ht="20.65" x14ac:dyDescent="0.45">
      <c r="B7" s="65" t="s">
        <v>372</v>
      </c>
    </row>
    <row r="10" spans="1:9" ht="14.65" x14ac:dyDescent="0.35">
      <c r="B10" s="233" t="s">
        <v>340</v>
      </c>
      <c r="C10" s="233"/>
      <c r="D10" s="233"/>
      <c r="E10" s="233"/>
      <c r="F10" s="233"/>
    </row>
    <row r="11" spans="1:9" ht="14.65" x14ac:dyDescent="0.35">
      <c r="H11" s="240" t="s">
        <v>371</v>
      </c>
      <c r="I11" s="240"/>
    </row>
    <row r="12" spans="1:9" ht="52.5" x14ac:dyDescent="0.35">
      <c r="B12" s="232" t="s">
        <v>342</v>
      </c>
      <c r="C12" s="232"/>
      <c r="H12" s="186" t="s">
        <v>343</v>
      </c>
      <c r="I12" s="186" t="s">
        <v>381</v>
      </c>
    </row>
    <row r="13" spans="1:9" ht="14.65" x14ac:dyDescent="0.35">
      <c r="B13" s="187" t="s">
        <v>344</v>
      </c>
      <c r="C13" s="187" t="s">
        <v>345</v>
      </c>
      <c r="H13" s="188">
        <v>0</v>
      </c>
      <c r="I13" s="216">
        <f>$F$40*H13^4/4+$F$41*H13^3/3+$F$42*H13^2/2+$F$43*H13</f>
        <v>0</v>
      </c>
    </row>
    <row r="14" spans="1:9" ht="14.65" x14ac:dyDescent="0.35">
      <c r="A14" s="189" t="str">
        <f>"(1)"</f>
        <v>(1)</v>
      </c>
      <c r="B14" s="190">
        <v>0</v>
      </c>
      <c r="C14" s="191">
        <v>0.52</v>
      </c>
      <c r="H14" s="188">
        <v>1</v>
      </c>
      <c r="I14" s="216">
        <f t="shared" ref="I14:I77" si="0">$F$40*H14^4/4+$F$41*H14^3/3+$F$42*H14^2/2+$F$43*H14</f>
        <v>0.56928315873015878</v>
      </c>
    </row>
    <row r="15" spans="1:9" ht="14.65" x14ac:dyDescent="0.35">
      <c r="A15" s="189" t="str">
        <f>"(2)"</f>
        <v>(2)</v>
      </c>
      <c r="B15" s="191">
        <v>30</v>
      </c>
      <c r="C15" s="190" t="s">
        <v>346</v>
      </c>
      <c r="H15" s="188">
        <v>2</v>
      </c>
      <c r="I15" s="216">
        <f t="shared" si="0"/>
        <v>1.2339452839506173</v>
      </c>
    </row>
    <row r="16" spans="1:9" ht="14.65" x14ac:dyDescent="0.35">
      <c r="A16" s="189" t="str">
        <f>"(3)"</f>
        <v>(3)</v>
      </c>
      <c r="B16" s="191">
        <v>90</v>
      </c>
      <c r="C16" s="190" t="s">
        <v>346</v>
      </c>
      <c r="H16" s="188">
        <v>3</v>
      </c>
      <c r="I16" s="216">
        <f t="shared" si="0"/>
        <v>1.989290142857143</v>
      </c>
    </row>
    <row r="17" spans="1:22" ht="14.65" x14ac:dyDescent="0.35">
      <c r="A17" s="189" t="str">
        <f>"(4)"</f>
        <v>(4)</v>
      </c>
      <c r="B17" s="190">
        <v>100</v>
      </c>
      <c r="C17" s="190" t="s">
        <v>346</v>
      </c>
      <c r="H17" s="188">
        <v>4</v>
      </c>
      <c r="I17" s="216">
        <f t="shared" si="0"/>
        <v>2.8307345608465608</v>
      </c>
    </row>
    <row r="18" spans="1:22" ht="14.65" x14ac:dyDescent="0.35">
      <c r="A18" s="189"/>
      <c r="H18" s="188">
        <v>5</v>
      </c>
      <c r="I18" s="216">
        <f t="shared" si="0"/>
        <v>3.7538084215167551</v>
      </c>
    </row>
    <row r="19" spans="1:22" ht="14.65" x14ac:dyDescent="0.35">
      <c r="A19" s="189"/>
      <c r="B19" s="192" t="s">
        <v>347</v>
      </c>
      <c r="C19" s="187" t="s">
        <v>348</v>
      </c>
      <c r="D19" s="187" t="s">
        <v>349</v>
      </c>
      <c r="E19" s="187" t="s">
        <v>350</v>
      </c>
      <c r="F19" s="187" t="s">
        <v>351</v>
      </c>
      <c r="H19" s="188">
        <v>6</v>
      </c>
      <c r="I19" s="216">
        <f t="shared" si="0"/>
        <v>4.7541546666666665</v>
      </c>
    </row>
    <row r="20" spans="1:22" x14ac:dyDescent="0.25">
      <c r="A20" s="189" t="str">
        <f>"(5)"</f>
        <v>(5)</v>
      </c>
      <c r="B20" s="190" t="s">
        <v>352</v>
      </c>
      <c r="C20" s="4">
        <v>0</v>
      </c>
      <c r="D20" s="4">
        <v>100</v>
      </c>
      <c r="E20" s="193">
        <v>1</v>
      </c>
      <c r="F20" s="194">
        <v>213</v>
      </c>
      <c r="H20" s="188">
        <v>7</v>
      </c>
      <c r="I20" s="216">
        <f t="shared" si="0"/>
        <v>5.8275292962962961</v>
      </c>
    </row>
    <row r="21" spans="1:22" x14ac:dyDescent="0.25">
      <c r="A21" s="189" t="str">
        <f>"(6)"</f>
        <v>(6)</v>
      </c>
      <c r="B21" s="190" t="s">
        <v>352</v>
      </c>
      <c r="C21" s="4">
        <v>0</v>
      </c>
      <c r="D21" s="4">
        <f>B15</f>
        <v>30</v>
      </c>
      <c r="E21" s="195">
        <v>0.2</v>
      </c>
      <c r="F21" s="196">
        <f>$F$20*E21</f>
        <v>42.6</v>
      </c>
      <c r="H21" s="188">
        <v>8</v>
      </c>
      <c r="I21" s="216">
        <f t="shared" si="0"/>
        <v>6.969801368606702</v>
      </c>
    </row>
    <row r="22" spans="1:22" x14ac:dyDescent="0.25">
      <c r="A22" s="189" t="str">
        <f>"(7)"</f>
        <v>(7)</v>
      </c>
      <c r="B22" s="190" t="s">
        <v>352</v>
      </c>
      <c r="C22" s="4">
        <f>B15</f>
        <v>30</v>
      </c>
      <c r="D22" s="4">
        <f>B16</f>
        <v>90</v>
      </c>
      <c r="E22" s="195">
        <v>0.6</v>
      </c>
      <c r="F22" s="196">
        <f t="shared" ref="F22:F23" si="1">$F$20*E22</f>
        <v>127.8</v>
      </c>
      <c r="H22" s="188">
        <v>9</v>
      </c>
      <c r="I22" s="216">
        <f t="shared" si="0"/>
        <v>8.1769529999999992</v>
      </c>
    </row>
    <row r="23" spans="1:22" x14ac:dyDescent="0.25">
      <c r="A23" s="189" t="str">
        <f>"(8)"</f>
        <v>(8)</v>
      </c>
      <c r="B23" s="190" t="s">
        <v>352</v>
      </c>
      <c r="C23" s="4">
        <f>B16</f>
        <v>90</v>
      </c>
      <c r="D23" s="4">
        <v>100</v>
      </c>
      <c r="E23" s="195">
        <f>1-E22-E21</f>
        <v>0.2</v>
      </c>
      <c r="F23" s="196">
        <f t="shared" si="1"/>
        <v>42.6</v>
      </c>
      <c r="H23" s="188">
        <v>10</v>
      </c>
      <c r="I23" s="216">
        <f t="shared" si="0"/>
        <v>9.4450793650793656</v>
      </c>
    </row>
    <row r="24" spans="1:22" ht="14.65" x14ac:dyDescent="0.35">
      <c r="B24" s="234" t="str">
        <f>IF(OR(SUM($F$21:$F$23)&lt;$F$20,SUM($F$21:$F$23)&gt;$F$20),"Area does not equate to 100%","")</f>
        <v/>
      </c>
      <c r="C24" s="235"/>
      <c r="D24" s="235"/>
      <c r="E24" s="235"/>
      <c r="F24" s="236"/>
      <c r="H24" s="188">
        <v>11</v>
      </c>
      <c r="I24" s="216">
        <f t="shared" si="0"/>
        <v>10.770388696649031</v>
      </c>
    </row>
    <row r="25" spans="1:22" ht="14.65" x14ac:dyDescent="0.35">
      <c r="B25" s="197"/>
      <c r="E25" s="198"/>
      <c r="F25" s="30"/>
      <c r="H25" s="188">
        <v>12</v>
      </c>
      <c r="I25" s="216">
        <f t="shared" si="0"/>
        <v>12.149202285714287</v>
      </c>
    </row>
    <row r="26" spans="1:22" ht="15.4" x14ac:dyDescent="0.35">
      <c r="B26" s="199" t="s">
        <v>353</v>
      </c>
      <c r="C26" s="200" t="s">
        <v>354</v>
      </c>
      <c r="E26" s="189" t="s">
        <v>355</v>
      </c>
      <c r="H26" s="188">
        <v>13</v>
      </c>
      <c r="I26" s="216">
        <f t="shared" si="0"/>
        <v>13.577954481481482</v>
      </c>
    </row>
    <row r="27" spans="1:22" ht="14.65" x14ac:dyDescent="0.35">
      <c r="E27" s="189" t="s">
        <v>356</v>
      </c>
      <c r="F27" s="201">
        <f>C14</f>
        <v>0.52</v>
      </c>
      <c r="H27" s="188">
        <v>14</v>
      </c>
      <c r="I27" s="216">
        <f t="shared" si="0"/>
        <v>15.053192691358024</v>
      </c>
    </row>
    <row r="28" spans="1:22" ht="14.65" x14ac:dyDescent="0.35">
      <c r="H28" s="188">
        <v>15</v>
      </c>
      <c r="I28" s="216">
        <f t="shared" si="0"/>
        <v>16.571577380952384</v>
      </c>
    </row>
    <row r="29" spans="1:22" ht="14.45" x14ac:dyDescent="0.3">
      <c r="B29" s="237" t="s">
        <v>357</v>
      </c>
      <c r="C29" s="237"/>
      <c r="D29" s="237"/>
      <c r="E29" s="237"/>
      <c r="F29" s="237"/>
      <c r="H29" s="188">
        <v>16</v>
      </c>
      <c r="I29" s="216">
        <f t="shared" si="0"/>
        <v>18.129882074074075</v>
      </c>
    </row>
    <row r="30" spans="1:22" ht="14.45" x14ac:dyDescent="0.3">
      <c r="B30" s="200" t="s">
        <v>358</v>
      </c>
      <c r="F30" s="200" t="s">
        <v>359</v>
      </c>
      <c r="H30" s="188">
        <v>17</v>
      </c>
      <c r="I30" s="216">
        <f t="shared" si="0"/>
        <v>19.724993352733687</v>
      </c>
    </row>
    <row r="31" spans="1:22" ht="14.45" x14ac:dyDescent="0.3">
      <c r="A31" s="189" t="str">
        <f>"(6)"</f>
        <v>(6)</v>
      </c>
      <c r="B31" s="202">
        <f>$D$21^4/4</f>
        <v>202500</v>
      </c>
      <c r="C31" s="203">
        <f>$D$21^3/3</f>
        <v>9000</v>
      </c>
      <c r="D31" s="204">
        <f>$D$21^2/2</f>
        <v>450</v>
      </c>
      <c r="F31" s="205">
        <f>F21-$C$14*D21</f>
        <v>27</v>
      </c>
      <c r="H31" s="188">
        <v>18</v>
      </c>
      <c r="I31" s="216">
        <f t="shared" si="0"/>
        <v>21.353910857142857</v>
      </c>
    </row>
    <row r="32" spans="1:22" ht="14.45" x14ac:dyDescent="0.3">
      <c r="A32" s="189" t="str">
        <f>"(7)"</f>
        <v>(7)</v>
      </c>
      <c r="B32" s="202">
        <f>$D$22^4/4-$C$22^4/4</f>
        <v>16200000</v>
      </c>
      <c r="C32" s="203">
        <f>$D$22^3/3-$C$22^3/3</f>
        <v>234000</v>
      </c>
      <c r="D32" s="204">
        <f>$D$22^2/2-$C$22^2/2</f>
        <v>3600</v>
      </c>
      <c r="F32" s="205">
        <f>F22-$C$14*D22+$C$14*C22</f>
        <v>96.6</v>
      </c>
      <c r="H32" s="188">
        <v>19</v>
      </c>
      <c r="I32" s="216">
        <f t="shared" si="0"/>
        <v>23.013747285714288</v>
      </c>
      <c r="L32" s="231"/>
      <c r="M32" s="231"/>
      <c r="N32" s="231"/>
      <c r="O32" s="231"/>
      <c r="P32" s="231"/>
      <c r="Q32" s="231"/>
      <c r="R32" s="231"/>
      <c r="S32" s="231"/>
      <c r="T32" s="231"/>
      <c r="U32" s="231"/>
      <c r="V32" s="231"/>
    </row>
    <row r="33" spans="1:22" ht="14.45" x14ac:dyDescent="0.3">
      <c r="A33" s="189" t="str">
        <f>"(8)"</f>
        <v>(8)</v>
      </c>
      <c r="B33" s="202">
        <f>$D$23^4/4-$C$23^4/4</f>
        <v>8597500</v>
      </c>
      <c r="C33" s="203">
        <f>$D$23^3/3-$C$23^3/3</f>
        <v>90333.333333333314</v>
      </c>
      <c r="D33" s="204">
        <f>$D$23^2/2-$C$23^2/2</f>
        <v>950</v>
      </c>
      <c r="F33" s="205">
        <f>F23-$C$14*D23+$C$14*C23</f>
        <v>37.400000000000006</v>
      </c>
      <c r="H33" s="188">
        <v>20</v>
      </c>
      <c r="I33" s="216">
        <f t="shared" si="0"/>
        <v>24.701728395061728</v>
      </c>
    </row>
    <row r="34" spans="1:22" ht="14.45" x14ac:dyDescent="0.3">
      <c r="H34" s="188">
        <v>21</v>
      </c>
      <c r="I34" s="216">
        <f t="shared" si="0"/>
        <v>26.415193000000002</v>
      </c>
    </row>
    <row r="35" spans="1:22" x14ac:dyDescent="0.25">
      <c r="B35" s="200" t="s">
        <v>360</v>
      </c>
      <c r="F35" s="200" t="s">
        <v>361</v>
      </c>
      <c r="H35" s="188">
        <v>22</v>
      </c>
      <c r="I35" s="216">
        <f t="shared" si="0"/>
        <v>28.151592973544975</v>
      </c>
      <c r="M35" s="231"/>
      <c r="N35" s="231"/>
      <c r="O35" s="231"/>
      <c r="P35" s="231"/>
      <c r="Q35" s="231"/>
      <c r="R35" s="231"/>
      <c r="S35" s="231"/>
      <c r="T35" s="231"/>
      <c r="U35" s="231"/>
      <c r="V35" s="231"/>
    </row>
    <row r="36" spans="1:22" x14ac:dyDescent="0.25">
      <c r="B36" s="206">
        <f t="array" ref="B36:D38">MINVERSE(B31:D33)</f>
        <v>8.0658436213991677E-7</v>
      </c>
      <c r="C36" s="207">
        <v>-2.5161669606114027E-7</v>
      </c>
      <c r="D36" s="208">
        <v>5.7142857142857096E-7</v>
      </c>
      <c r="F36" s="209">
        <f t="array" ref="F36:F38">MMULT(B36:D38,F31:F33)</f>
        <v>1.8843033509700161E-5</v>
      </c>
      <c r="H36" s="188">
        <v>23</v>
      </c>
      <c r="I36" s="216">
        <f t="shared" si="0"/>
        <v>29.908493246913586</v>
      </c>
      <c r="M36" s="231"/>
      <c r="N36" s="231"/>
      <c r="O36" s="231"/>
      <c r="P36" s="231"/>
      <c r="Q36" s="231"/>
      <c r="R36" s="231"/>
      <c r="S36" s="231"/>
      <c r="T36" s="231"/>
      <c r="U36" s="231"/>
      <c r="V36" s="231"/>
    </row>
    <row r="37" spans="1:22" x14ac:dyDescent="0.25">
      <c r="B37" s="206">
        <v>-1.2197530864197523E-4</v>
      </c>
      <c r="C37" s="207">
        <v>2.8818342151675462E-5</v>
      </c>
      <c r="D37" s="208">
        <v>-5.1428571428571388E-5</v>
      </c>
      <c r="F37" s="209">
        <v>-2.4329100529100521E-3</v>
      </c>
      <c r="H37" s="188">
        <v>24</v>
      </c>
      <c r="I37" s="216">
        <f t="shared" si="0"/>
        <v>31.683571809523816</v>
      </c>
      <c r="M37" s="231"/>
      <c r="N37" s="231"/>
      <c r="O37" s="231"/>
      <c r="P37" s="231"/>
      <c r="Q37" s="231"/>
      <c r="R37" s="231"/>
      <c r="S37" s="231"/>
      <c r="T37" s="231"/>
      <c r="U37" s="231"/>
      <c r="V37" s="231"/>
    </row>
    <row r="38" spans="1:22" x14ac:dyDescent="0.25">
      <c r="B38" s="206">
        <v>4.2987654320987643E-3</v>
      </c>
      <c r="C38" s="207">
        <v>-4.631393298059961E-4</v>
      </c>
      <c r="D38" s="208">
        <v>7.714285714285708E-4</v>
      </c>
      <c r="F38" s="209">
        <v>0.10017883597883598</v>
      </c>
      <c r="H38" s="188">
        <v>25</v>
      </c>
      <c r="I38" s="216">
        <f t="shared" si="0"/>
        <v>33.474619708994709</v>
      </c>
      <c r="M38" s="231"/>
      <c r="N38" s="231"/>
      <c r="O38" s="231"/>
      <c r="P38" s="231"/>
      <c r="Q38" s="231"/>
      <c r="R38" s="231"/>
      <c r="S38" s="231"/>
      <c r="T38" s="231"/>
      <c r="U38" s="231"/>
      <c r="V38" s="231"/>
    </row>
    <row r="39" spans="1:22" x14ac:dyDescent="0.25">
      <c r="H39" s="188">
        <v>26</v>
      </c>
      <c r="I39" s="216">
        <f t="shared" si="0"/>
        <v>35.279541051146388</v>
      </c>
    </row>
    <row r="40" spans="1:22" x14ac:dyDescent="0.25">
      <c r="B40" s="200" t="s">
        <v>362</v>
      </c>
      <c r="C40" s="210" t="s">
        <v>363</v>
      </c>
      <c r="D40" s="200" t="s">
        <v>364</v>
      </c>
      <c r="E40" s="189" t="s">
        <v>365</v>
      </c>
      <c r="F40">
        <f>F36</f>
        <v>1.8843033509700161E-5</v>
      </c>
      <c r="H40" s="188">
        <v>27</v>
      </c>
      <c r="I40" s="216">
        <f t="shared" si="0"/>
        <v>37.096353000000001</v>
      </c>
    </row>
    <row r="41" spans="1:22" x14ac:dyDescent="0.25">
      <c r="C41" s="200"/>
      <c r="E41" s="189" t="s">
        <v>366</v>
      </c>
      <c r="F41">
        <f>F37</f>
        <v>-2.4329100529100521E-3</v>
      </c>
      <c r="H41" s="188">
        <v>28</v>
      </c>
      <c r="I41" s="216">
        <f t="shared" si="0"/>
        <v>38.923185777777782</v>
      </c>
    </row>
    <row r="42" spans="1:22" x14ac:dyDescent="0.25">
      <c r="E42" s="189" t="s">
        <v>367</v>
      </c>
      <c r="F42">
        <f>F38</f>
        <v>0.10017883597883598</v>
      </c>
      <c r="H42" s="188">
        <v>29</v>
      </c>
      <c r="I42" s="216">
        <f t="shared" si="0"/>
        <v>40.758282664903007</v>
      </c>
    </row>
    <row r="43" spans="1:22" x14ac:dyDescent="0.25">
      <c r="E43" s="189" t="s">
        <v>368</v>
      </c>
      <c r="F43">
        <f>C14</f>
        <v>0.52</v>
      </c>
      <c r="H43" s="188">
        <v>30</v>
      </c>
      <c r="I43" s="216">
        <f t="shared" si="0"/>
        <v>42.600000000000009</v>
      </c>
    </row>
    <row r="44" spans="1:22" x14ac:dyDescent="0.25">
      <c r="H44" s="188">
        <v>31</v>
      </c>
      <c r="I44" s="216">
        <f t="shared" si="0"/>
        <v>44.446807179894179</v>
      </c>
    </row>
    <row r="45" spans="1:22" x14ac:dyDescent="0.25">
      <c r="B45" s="232" t="s">
        <v>369</v>
      </c>
      <c r="C45" s="232"/>
      <c r="H45" s="188">
        <v>32</v>
      </c>
      <c r="I45" s="216">
        <f t="shared" si="0"/>
        <v>46.297286659611999</v>
      </c>
    </row>
    <row r="46" spans="1:22" x14ac:dyDescent="0.25">
      <c r="B46" s="187" t="s">
        <v>344</v>
      </c>
      <c r="C46" s="187" t="s">
        <v>345</v>
      </c>
      <c r="H46" s="188">
        <v>33</v>
      </c>
      <c r="I46" s="216">
        <f t="shared" si="0"/>
        <v>48.150133952380955</v>
      </c>
    </row>
    <row r="47" spans="1:22" x14ac:dyDescent="0.25">
      <c r="A47" s="189" t="str">
        <f>"(1)"</f>
        <v>(1)</v>
      </c>
      <c r="B47" s="211">
        <v>0</v>
      </c>
      <c r="C47" s="212">
        <f>$F$36*B47^3+$F$37*B47^2+$F$38*B47+$F$43</f>
        <v>0.52</v>
      </c>
      <c r="H47" s="188">
        <v>34</v>
      </c>
      <c r="I47" s="216">
        <f t="shared" si="0"/>
        <v>50.004157629629631</v>
      </c>
    </row>
    <row r="48" spans="1:22" x14ac:dyDescent="0.25">
      <c r="A48" s="189" t="str">
        <f>"(2)"</f>
        <v>(2)</v>
      </c>
      <c r="B48" s="211">
        <f>B15</f>
        <v>30</v>
      </c>
      <c r="C48" s="212">
        <f t="shared" ref="C48:C50" si="2">$F$36*B48^3+$F$37*B48^2+$F$38*B48+$F$43</f>
        <v>1.8445079365079367</v>
      </c>
      <c r="H48" s="188">
        <v>35</v>
      </c>
      <c r="I48" s="216">
        <f t="shared" si="0"/>
        <v>51.858279320987663</v>
      </c>
    </row>
    <row r="49" spans="1:9" x14ac:dyDescent="0.25">
      <c r="A49" s="189" t="str">
        <f>"(3)"</f>
        <v>(3)</v>
      </c>
      <c r="B49" s="211">
        <f>B16</f>
        <v>90</v>
      </c>
      <c r="C49" s="212">
        <f t="shared" si="2"/>
        <v>3.5660952380952335</v>
      </c>
      <c r="H49" s="188">
        <v>36</v>
      </c>
      <c r="I49" s="216">
        <f t="shared" si="0"/>
        <v>53.711533714285714</v>
      </c>
    </row>
    <row r="50" spans="1:9" x14ac:dyDescent="0.25">
      <c r="A50" s="189" t="str">
        <f>"(4)"</f>
        <v>(4)</v>
      </c>
      <c r="B50" s="211">
        <v>100</v>
      </c>
      <c r="C50" s="212">
        <f t="shared" si="2"/>
        <v>5.0518165784832352</v>
      </c>
      <c r="H50" s="188">
        <v>37</v>
      </c>
      <c r="I50" s="216">
        <f t="shared" si="0"/>
        <v>55.56306855555556</v>
      </c>
    </row>
    <row r="51" spans="1:9" x14ac:dyDescent="0.25">
      <c r="H51" s="188">
        <v>38</v>
      </c>
      <c r="I51" s="216">
        <f t="shared" si="0"/>
        <v>57.412144649029983</v>
      </c>
    </row>
    <row r="52" spans="1:9" x14ac:dyDescent="0.25">
      <c r="H52" s="188">
        <v>39</v>
      </c>
      <c r="I52" s="216">
        <f t="shared" si="0"/>
        <v>59.258135857142861</v>
      </c>
    </row>
    <row r="53" spans="1:9" x14ac:dyDescent="0.25">
      <c r="H53" s="188">
        <v>40</v>
      </c>
      <c r="I53" s="216">
        <f t="shared" si="0"/>
        <v>61.100529100529116</v>
      </c>
    </row>
    <row r="54" spans="1:9" x14ac:dyDescent="0.25">
      <c r="H54" s="188">
        <v>41</v>
      </c>
      <c r="I54" s="216">
        <f t="shared" si="0"/>
        <v>62.9389243580247</v>
      </c>
    </row>
    <row r="55" spans="1:9" x14ac:dyDescent="0.25">
      <c r="H55" s="188">
        <v>42</v>
      </c>
      <c r="I55" s="216">
        <f t="shared" si="0"/>
        <v>64.773034666666675</v>
      </c>
    </row>
    <row r="56" spans="1:9" x14ac:dyDescent="0.25">
      <c r="H56" s="188">
        <v>43</v>
      </c>
      <c r="I56" s="216">
        <f t="shared" si="0"/>
        <v>66.602686121693125</v>
      </c>
    </row>
    <row r="57" spans="1:9" x14ac:dyDescent="0.25">
      <c r="H57" s="188">
        <v>44</v>
      </c>
      <c r="I57" s="216">
        <f t="shared" si="0"/>
        <v>68.427817876543216</v>
      </c>
    </row>
    <row r="58" spans="1:9" x14ac:dyDescent="0.25">
      <c r="H58" s="188">
        <v>45</v>
      </c>
      <c r="I58" s="216">
        <f t="shared" si="0"/>
        <v>70.248482142857156</v>
      </c>
    </row>
    <row r="59" spans="1:9" x14ac:dyDescent="0.25">
      <c r="H59" s="188">
        <v>46</v>
      </c>
      <c r="I59" s="216">
        <f t="shared" si="0"/>
        <v>72.064844190476208</v>
      </c>
    </row>
    <row r="60" spans="1:9" x14ac:dyDescent="0.25">
      <c r="H60" s="188">
        <v>47</v>
      </c>
      <c r="I60" s="216">
        <f t="shared" si="0"/>
        <v>73.877182347442684</v>
      </c>
    </row>
    <row r="61" spans="1:9" x14ac:dyDescent="0.25">
      <c r="H61" s="188">
        <v>48</v>
      </c>
      <c r="I61" s="216">
        <f t="shared" si="0"/>
        <v>75.685888000000034</v>
      </c>
    </row>
    <row r="62" spans="1:9" x14ac:dyDescent="0.25">
      <c r="H62" s="188">
        <v>49</v>
      </c>
      <c r="I62" s="216">
        <f t="shared" si="0"/>
        <v>77.491465592592604</v>
      </c>
    </row>
    <row r="63" spans="1:9" x14ac:dyDescent="0.25">
      <c r="H63" s="188">
        <v>50</v>
      </c>
      <c r="I63" s="216">
        <f t="shared" si="0"/>
        <v>79.294532627865976</v>
      </c>
    </row>
    <row r="64" spans="1:9" x14ac:dyDescent="0.25">
      <c r="H64" s="188">
        <v>51</v>
      </c>
      <c r="I64" s="216">
        <f t="shared" si="0"/>
        <v>81.095819666666671</v>
      </c>
    </row>
    <row r="65" spans="8:9" x14ac:dyDescent="0.25">
      <c r="H65" s="188">
        <v>52</v>
      </c>
      <c r="I65" s="216">
        <f t="shared" si="0"/>
        <v>82.896170328042331</v>
      </c>
    </row>
    <row r="66" spans="8:9" x14ac:dyDescent="0.25">
      <c r="H66" s="188">
        <v>53</v>
      </c>
      <c r="I66" s="216">
        <f t="shared" si="0"/>
        <v>84.696541289241623</v>
      </c>
    </row>
    <row r="67" spans="8:9" x14ac:dyDescent="0.25">
      <c r="H67" s="188">
        <v>54</v>
      </c>
      <c r="I67" s="216">
        <f t="shared" si="0"/>
        <v>86.498002285714293</v>
      </c>
    </row>
    <row r="68" spans="8:9" x14ac:dyDescent="0.25">
      <c r="H68" s="188">
        <v>55</v>
      </c>
      <c r="I68" s="216">
        <f t="shared" si="0"/>
        <v>88.301736111111097</v>
      </c>
    </row>
    <row r="69" spans="8:9" x14ac:dyDescent="0.25">
      <c r="H69" s="188">
        <v>56</v>
      </c>
      <c r="I69" s="216">
        <f t="shared" si="0"/>
        <v>90.109038617283957</v>
      </c>
    </row>
    <row r="70" spans="8:9" x14ac:dyDescent="0.25">
      <c r="H70" s="188">
        <v>57</v>
      </c>
      <c r="I70" s="216">
        <f t="shared" si="0"/>
        <v>91.921318714285732</v>
      </c>
    </row>
    <row r="71" spans="8:9" x14ac:dyDescent="0.25">
      <c r="H71" s="188">
        <v>58</v>
      </c>
      <c r="I71" s="216">
        <f t="shared" si="0"/>
        <v>93.74009837037039</v>
      </c>
    </row>
    <row r="72" spans="8:9" x14ac:dyDescent="0.25">
      <c r="H72" s="188">
        <v>59</v>
      </c>
      <c r="I72" s="216">
        <f t="shared" si="0"/>
        <v>95.567012611992993</v>
      </c>
    </row>
    <row r="73" spans="8:9" x14ac:dyDescent="0.25">
      <c r="H73" s="188">
        <v>60</v>
      </c>
      <c r="I73" s="216">
        <f t="shared" si="0"/>
        <v>97.403809523809528</v>
      </c>
    </row>
    <row r="74" spans="8:9" x14ac:dyDescent="0.25">
      <c r="H74" s="188">
        <v>61</v>
      </c>
      <c r="I74" s="216">
        <f t="shared" si="0"/>
        <v>99.252350248677232</v>
      </c>
    </row>
    <row r="75" spans="8:9" x14ac:dyDescent="0.25">
      <c r="H75" s="188">
        <v>62</v>
      </c>
      <c r="I75" s="216">
        <f t="shared" si="0"/>
        <v>101.11460898765432</v>
      </c>
    </row>
    <row r="76" spans="8:9" x14ac:dyDescent="0.25">
      <c r="H76" s="188">
        <v>63</v>
      </c>
      <c r="I76" s="216">
        <f t="shared" si="0"/>
        <v>102.99267300000002</v>
      </c>
    </row>
    <row r="77" spans="8:9" x14ac:dyDescent="0.25">
      <c r="H77" s="188">
        <v>64</v>
      </c>
      <c r="I77" s="216">
        <f t="shared" si="0"/>
        <v>104.88874260317462</v>
      </c>
    </row>
    <row r="78" spans="8:9" x14ac:dyDescent="0.25">
      <c r="H78" s="188">
        <v>65</v>
      </c>
      <c r="I78" s="216">
        <f t="shared" ref="I78:I113" si="3">$F$40*H78^4/4+$F$41*H78^3/3+$F$42*H78^2/2+$F$43*H78</f>
        <v>106.80513117283957</v>
      </c>
    </row>
    <row r="79" spans="8:9" x14ac:dyDescent="0.25">
      <c r="H79" s="188">
        <v>66</v>
      </c>
      <c r="I79" s="216">
        <f t="shared" si="3"/>
        <v>108.74426514285713</v>
      </c>
    </row>
    <row r="80" spans="8:9" x14ac:dyDescent="0.25">
      <c r="H80" s="188">
        <v>67</v>
      </c>
      <c r="I80" s="216">
        <f t="shared" si="3"/>
        <v>110.70868400529099</v>
      </c>
    </row>
    <row r="81" spans="8:9" x14ac:dyDescent="0.25">
      <c r="H81" s="188">
        <v>68</v>
      </c>
      <c r="I81" s="216">
        <f t="shared" si="3"/>
        <v>112.70104031040562</v>
      </c>
    </row>
    <row r="82" spans="8:9" x14ac:dyDescent="0.25">
      <c r="H82" s="188">
        <v>69</v>
      </c>
      <c r="I82" s="216">
        <f t="shared" si="3"/>
        <v>114.72409966666663</v>
      </c>
    </row>
    <row r="83" spans="8:9" x14ac:dyDescent="0.25">
      <c r="H83" s="188">
        <v>70</v>
      </c>
      <c r="I83" s="216">
        <f t="shared" si="3"/>
        <v>116.78074074074078</v>
      </c>
    </row>
    <row r="84" spans="8:9" x14ac:dyDescent="0.25">
      <c r="H84" s="188">
        <v>71</v>
      </c>
      <c r="I84" s="216">
        <f t="shared" si="3"/>
        <v>118.87395525749555</v>
      </c>
    </row>
    <row r="85" spans="8:9" x14ac:dyDescent="0.25">
      <c r="H85" s="188">
        <v>72</v>
      </c>
      <c r="I85" s="216">
        <f t="shared" si="3"/>
        <v>121.00684799999999</v>
      </c>
    </row>
    <row r="86" spans="8:9" x14ac:dyDescent="0.25">
      <c r="H86" s="188">
        <v>73</v>
      </c>
      <c r="I86" s="216">
        <f t="shared" si="3"/>
        <v>123.18263680952387</v>
      </c>
    </row>
    <row r="87" spans="8:9" x14ac:dyDescent="0.25">
      <c r="H87" s="188">
        <v>74</v>
      </c>
      <c r="I87" s="216">
        <f t="shared" si="3"/>
        <v>125.4046525855379</v>
      </c>
    </row>
    <row r="88" spans="8:9" x14ac:dyDescent="0.25">
      <c r="H88" s="188">
        <v>75</v>
      </c>
      <c r="I88" s="216">
        <f t="shared" si="3"/>
        <v>127.67633928571428</v>
      </c>
    </row>
    <row r="89" spans="8:9" x14ac:dyDescent="0.25">
      <c r="H89" s="188">
        <v>76</v>
      </c>
      <c r="I89" s="216">
        <f t="shared" si="3"/>
        <v>130.00125392592588</v>
      </c>
    </row>
    <row r="90" spans="8:9" x14ac:dyDescent="0.25">
      <c r="H90" s="188">
        <v>77</v>
      </c>
      <c r="I90" s="216">
        <f t="shared" si="3"/>
        <v>132.38306658024692</v>
      </c>
    </row>
    <row r="91" spans="8:9" x14ac:dyDescent="0.25">
      <c r="H91" s="188">
        <v>78</v>
      </c>
      <c r="I91" s="216">
        <f t="shared" si="3"/>
        <v>134.82556038095237</v>
      </c>
    </row>
    <row r="92" spans="8:9" x14ac:dyDescent="0.25">
      <c r="H92" s="188">
        <v>79</v>
      </c>
      <c r="I92" s="216">
        <f t="shared" si="3"/>
        <v>137.33263151851855</v>
      </c>
    </row>
    <row r="93" spans="8:9" x14ac:dyDescent="0.25">
      <c r="H93" s="188">
        <v>80</v>
      </c>
      <c r="I93" s="216">
        <f t="shared" si="3"/>
        <v>139.90828924162258</v>
      </c>
    </row>
    <row r="94" spans="8:9" x14ac:dyDescent="0.25">
      <c r="H94" s="188">
        <v>81</v>
      </c>
      <c r="I94" s="216">
        <f t="shared" si="3"/>
        <v>142.55665585714289</v>
      </c>
    </row>
    <row r="95" spans="8:9" x14ac:dyDescent="0.25">
      <c r="H95" s="188">
        <v>82</v>
      </c>
      <c r="I95" s="216">
        <f t="shared" si="3"/>
        <v>145.28196673015867</v>
      </c>
    </row>
    <row r="96" spans="8:9" x14ac:dyDescent="0.25">
      <c r="H96" s="188">
        <v>83</v>
      </c>
      <c r="I96" s="216">
        <f t="shared" si="3"/>
        <v>148.08857028395056</v>
      </c>
    </row>
    <row r="97" spans="8:9" x14ac:dyDescent="0.25">
      <c r="H97" s="188">
        <v>84</v>
      </c>
      <c r="I97" s="216">
        <f t="shared" si="3"/>
        <v>150.98092799999998</v>
      </c>
    </row>
    <row r="98" spans="8:9" x14ac:dyDescent="0.25">
      <c r="H98" s="188">
        <v>85</v>
      </c>
      <c r="I98" s="216">
        <f t="shared" si="3"/>
        <v>153.96361441798939</v>
      </c>
    </row>
    <row r="99" spans="8:9" x14ac:dyDescent="0.25">
      <c r="H99" s="188">
        <v>86</v>
      </c>
      <c r="I99" s="216">
        <f t="shared" si="3"/>
        <v>157.04131713580236</v>
      </c>
    </row>
    <row r="100" spans="8:9" x14ac:dyDescent="0.25">
      <c r="H100" s="188">
        <v>87</v>
      </c>
      <c r="I100" s="216">
        <f t="shared" si="3"/>
        <v>160.21883680952368</v>
      </c>
    </row>
    <row r="101" spans="8:9" x14ac:dyDescent="0.25">
      <c r="H101" s="188">
        <v>88</v>
      </c>
      <c r="I101" s="216">
        <f t="shared" si="3"/>
        <v>163.50108715343907</v>
      </c>
    </row>
    <row r="102" spans="8:9" x14ac:dyDescent="0.25">
      <c r="H102" s="188">
        <v>89</v>
      </c>
      <c r="I102" s="216">
        <f t="shared" si="3"/>
        <v>166.89309494003518</v>
      </c>
    </row>
    <row r="103" spans="8:9" x14ac:dyDescent="0.25">
      <c r="H103" s="188">
        <v>90</v>
      </c>
      <c r="I103" s="216">
        <f t="shared" si="3"/>
        <v>170.39999999999992</v>
      </c>
    </row>
    <row r="104" spans="8:9" x14ac:dyDescent="0.25">
      <c r="H104" s="188">
        <v>91</v>
      </c>
      <c r="I104" s="216">
        <f t="shared" si="3"/>
        <v>174.02705522222209</v>
      </c>
    </row>
    <row r="105" spans="8:9" x14ac:dyDescent="0.25">
      <c r="H105" s="188">
        <v>92</v>
      </c>
      <c r="I105" s="216">
        <f t="shared" si="3"/>
        <v>177.77962655379187</v>
      </c>
    </row>
    <row r="106" spans="8:9" x14ac:dyDescent="0.25">
      <c r="H106" s="188">
        <v>93</v>
      </c>
      <c r="I106" s="216">
        <f t="shared" si="3"/>
        <v>181.66319299999998</v>
      </c>
    </row>
    <row r="107" spans="8:9" x14ac:dyDescent="0.25">
      <c r="H107" s="188">
        <v>94</v>
      </c>
      <c r="I107" s="216">
        <f t="shared" si="3"/>
        <v>185.68334662433853</v>
      </c>
    </row>
    <row r="108" spans="8:9" x14ac:dyDescent="0.25">
      <c r="H108" s="188">
        <v>95</v>
      </c>
      <c r="I108" s="216">
        <f t="shared" si="3"/>
        <v>189.84579254850073</v>
      </c>
    </row>
    <row r="109" spans="8:9" x14ac:dyDescent="0.25">
      <c r="H109" s="188">
        <v>96</v>
      </c>
      <c r="I109" s="216">
        <f t="shared" si="3"/>
        <v>194.15634895238094</v>
      </c>
    </row>
    <row r="110" spans="8:9" x14ac:dyDescent="0.25">
      <c r="H110" s="188">
        <v>97</v>
      </c>
      <c r="I110" s="216">
        <f t="shared" si="3"/>
        <v>198.62094707407397</v>
      </c>
    </row>
    <row r="111" spans="8:9" x14ac:dyDescent="0.25">
      <c r="H111" s="188">
        <v>98</v>
      </c>
      <c r="I111" s="216">
        <f t="shared" si="3"/>
        <v>203.24563120987645</v>
      </c>
    </row>
    <row r="112" spans="8:9" x14ac:dyDescent="0.25">
      <c r="H112" s="188">
        <v>99</v>
      </c>
      <c r="I112" s="216">
        <f t="shared" si="3"/>
        <v>208.03655871428549</v>
      </c>
    </row>
    <row r="113" spans="8:11" x14ac:dyDescent="0.25">
      <c r="H113" s="188">
        <v>100</v>
      </c>
      <c r="I113" s="216">
        <f t="shared" si="3"/>
        <v>212.99999999999989</v>
      </c>
      <c r="K113" s="30"/>
    </row>
  </sheetData>
  <sheetProtection algorithmName="SHA-512" hashValue="6o3F1Bage/RLp6jXNm9SggXys3XIElSt8l6fe5iswcHDCv/kyzXSnurhexz6GkuJqvZkrYe0r8bpUVHiBjPXsA==" saltValue="W+zXkZ4udyAHb+j0saOceA==" spinCount="100000" sheet="1" objects="1" scenarios="1"/>
  <mergeCells count="9">
    <mergeCell ref="M35:V36"/>
    <mergeCell ref="M37:V38"/>
    <mergeCell ref="B45:C45"/>
    <mergeCell ref="B10:F10"/>
    <mergeCell ref="B12:C12"/>
    <mergeCell ref="B24:F24"/>
    <mergeCell ref="B29:F29"/>
    <mergeCell ref="L32:V32"/>
    <mergeCell ref="H11:I11"/>
  </mergeCells>
  <conditionalFormatting sqref="F21:F23">
    <cfRule type="expression" dxfId="1" priority="1">
      <formula>OR(SUM($F$21:$F$23)&lt;$F$20,SUM($F$21:$F$23)&gt;$F$20)</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7:V113"/>
  <sheetViews>
    <sheetView showGridLines="0" workbookViewId="0">
      <selection activeCell="K18" sqref="K18"/>
    </sheetView>
  </sheetViews>
  <sheetFormatPr defaultRowHeight="15" x14ac:dyDescent="0.25"/>
  <cols>
    <col min="1" max="1" width="14.28515625" customWidth="1"/>
    <col min="2" max="2" width="13.42578125" customWidth="1"/>
    <col min="3" max="3" width="20.42578125" customWidth="1"/>
    <col min="4" max="4" width="16.28515625" customWidth="1"/>
    <col min="5" max="5" width="11.42578125" customWidth="1"/>
    <col min="6" max="6" width="12.5703125" customWidth="1"/>
    <col min="8" max="8" width="12" customWidth="1"/>
    <col min="9" max="9" width="11.28515625" customWidth="1"/>
    <col min="11" max="11" width="12" customWidth="1"/>
    <col min="13" max="16" width="13.28515625" customWidth="1"/>
  </cols>
  <sheetData>
    <row r="7" spans="1:9" ht="20.65" x14ac:dyDescent="0.45">
      <c r="B7" s="65" t="s">
        <v>374</v>
      </c>
    </row>
    <row r="10" spans="1:9" ht="14.65" x14ac:dyDescent="0.35">
      <c r="B10" s="233" t="s">
        <v>340</v>
      </c>
      <c r="C10" s="233"/>
      <c r="D10" s="233"/>
      <c r="E10" s="233"/>
      <c r="F10" s="233"/>
    </row>
    <row r="11" spans="1:9" ht="14.65" x14ac:dyDescent="0.35">
      <c r="H11" s="240" t="s">
        <v>373</v>
      </c>
      <c r="I11" s="240"/>
    </row>
    <row r="12" spans="1:9" ht="52.5" x14ac:dyDescent="0.35">
      <c r="B12" s="232" t="s">
        <v>342</v>
      </c>
      <c r="C12" s="232"/>
      <c r="H12" s="186" t="s">
        <v>343</v>
      </c>
      <c r="I12" s="186" t="s">
        <v>381</v>
      </c>
    </row>
    <row r="13" spans="1:9" ht="14.65" x14ac:dyDescent="0.35">
      <c r="B13" s="187" t="s">
        <v>344</v>
      </c>
      <c r="C13" s="187" t="s">
        <v>345</v>
      </c>
      <c r="H13" s="188">
        <v>0</v>
      </c>
      <c r="I13" s="216">
        <f>$F$40*H13^4/4+$F$41*H13^3/3+$F$42*H13^2/2+$F$43*H13</f>
        <v>0</v>
      </c>
    </row>
    <row r="14" spans="1:9" ht="14.65" x14ac:dyDescent="0.35">
      <c r="A14" s="189" t="str">
        <f>"(1)"</f>
        <v>(1)</v>
      </c>
      <c r="B14" s="190">
        <v>0</v>
      </c>
      <c r="C14" s="191">
        <v>0.52</v>
      </c>
      <c r="H14" s="188">
        <v>1</v>
      </c>
      <c r="I14" s="216">
        <f t="shared" ref="I14:I77" si="0">$F$40*H14^4/4+$F$41*H14^3/3+$F$42*H14^2/2+$F$43*H14</f>
        <v>0.517824835978836</v>
      </c>
    </row>
    <row r="15" spans="1:9" ht="14.65" x14ac:dyDescent="0.35">
      <c r="A15" s="189" t="str">
        <f>"(2)"</f>
        <v>(2)</v>
      </c>
      <c r="B15" s="191">
        <v>30</v>
      </c>
      <c r="C15" s="190" t="s">
        <v>346</v>
      </c>
      <c r="H15" s="188">
        <v>2</v>
      </c>
      <c r="I15" s="216">
        <f t="shared" si="0"/>
        <v>1.0323692510288067</v>
      </c>
    </row>
    <row r="16" spans="1:9" ht="14.65" x14ac:dyDescent="0.35">
      <c r="A16" s="189" t="str">
        <f>"(3)"</f>
        <v>(3)</v>
      </c>
      <c r="B16" s="191">
        <v>90</v>
      </c>
      <c r="C16" s="190" t="s">
        <v>346</v>
      </c>
      <c r="H16" s="188">
        <v>3</v>
      </c>
      <c r="I16" s="216">
        <f t="shared" si="0"/>
        <v>1.545220285714286</v>
      </c>
    </row>
    <row r="17" spans="1:9" ht="14.65" x14ac:dyDescent="0.35">
      <c r="A17" s="189" t="str">
        <f>"(4)"</f>
        <v>(4)</v>
      </c>
      <c r="B17" s="190">
        <v>100</v>
      </c>
      <c r="C17" s="190" t="s">
        <v>346</v>
      </c>
      <c r="H17" s="188">
        <v>4</v>
      </c>
      <c r="I17" s="216">
        <f t="shared" si="0"/>
        <v>2.0579412204585541</v>
      </c>
    </row>
    <row r="18" spans="1:9" ht="14.65" x14ac:dyDescent="0.35">
      <c r="A18" s="189"/>
      <c r="H18" s="188">
        <v>5</v>
      </c>
      <c r="I18" s="216">
        <f t="shared" si="0"/>
        <v>2.5720715755437982</v>
      </c>
    </row>
    <row r="19" spans="1:9" ht="14.65" x14ac:dyDescent="0.35">
      <c r="A19" s="189"/>
      <c r="B19" s="192" t="s">
        <v>347</v>
      </c>
      <c r="C19" s="187" t="s">
        <v>348</v>
      </c>
      <c r="D19" s="187" t="s">
        <v>349</v>
      </c>
      <c r="E19" s="187" t="s">
        <v>350</v>
      </c>
      <c r="F19" s="187" t="s">
        <v>351</v>
      </c>
      <c r="H19" s="188">
        <v>6</v>
      </c>
      <c r="I19" s="216">
        <f t="shared" si="0"/>
        <v>3.0891271111111118</v>
      </c>
    </row>
    <row r="20" spans="1:9" x14ac:dyDescent="0.25">
      <c r="A20" s="189" t="str">
        <f>"(5)"</f>
        <v>(5)</v>
      </c>
      <c r="B20" s="190" t="s">
        <v>352</v>
      </c>
      <c r="C20" s="4">
        <v>0</v>
      </c>
      <c r="D20" s="4">
        <v>100</v>
      </c>
      <c r="E20" s="193">
        <v>1</v>
      </c>
      <c r="F20" s="194">
        <v>199</v>
      </c>
      <c r="H20" s="188">
        <v>7</v>
      </c>
      <c r="I20" s="216">
        <f t="shared" si="0"/>
        <v>3.6105998271604949</v>
      </c>
    </row>
    <row r="21" spans="1:9" x14ac:dyDescent="0.25">
      <c r="A21" s="189" t="str">
        <f>"(6)"</f>
        <v>(6)</v>
      </c>
      <c r="B21" s="190" t="s">
        <v>352</v>
      </c>
      <c r="C21" s="4">
        <v>0</v>
      </c>
      <c r="D21" s="4">
        <f>B15</f>
        <v>30</v>
      </c>
      <c r="E21" s="195">
        <v>0.1</v>
      </c>
      <c r="F21" s="196">
        <f>$F$20*E21</f>
        <v>19.900000000000002</v>
      </c>
      <c r="H21" s="188">
        <v>8</v>
      </c>
      <c r="I21" s="216">
        <f t="shared" si="0"/>
        <v>4.1379579635508534</v>
      </c>
    </row>
    <row r="22" spans="1:9" x14ac:dyDescent="0.25">
      <c r="A22" s="189" t="str">
        <f>"(7)"</f>
        <v>(7)</v>
      </c>
      <c r="B22" s="190" t="s">
        <v>352</v>
      </c>
      <c r="C22" s="4">
        <f>B15</f>
        <v>30</v>
      </c>
      <c r="D22" s="4">
        <f>B16</f>
        <v>90</v>
      </c>
      <c r="E22" s="195">
        <v>0.7</v>
      </c>
      <c r="F22" s="196">
        <f t="shared" ref="F22:F23" si="1">$F$20*E22</f>
        <v>139.29999999999998</v>
      </c>
      <c r="H22" s="188">
        <v>9</v>
      </c>
      <c r="I22" s="216">
        <f t="shared" si="0"/>
        <v>4.6726460000000012</v>
      </c>
    </row>
    <row r="23" spans="1:9" x14ac:dyDescent="0.25">
      <c r="A23" s="189" t="str">
        <f>"(8)"</f>
        <v>(8)</v>
      </c>
      <c r="B23" s="190" t="s">
        <v>352</v>
      </c>
      <c r="C23" s="4">
        <f>B16</f>
        <v>90</v>
      </c>
      <c r="D23" s="4">
        <v>100</v>
      </c>
      <c r="E23" s="195">
        <f>1-E22-E21</f>
        <v>0.20000000000000004</v>
      </c>
      <c r="F23" s="196">
        <f t="shared" si="1"/>
        <v>39.800000000000004</v>
      </c>
      <c r="H23" s="188">
        <v>10</v>
      </c>
      <c r="I23" s="216">
        <f t="shared" si="0"/>
        <v>5.2160846560846581</v>
      </c>
    </row>
    <row r="24" spans="1:9" ht="14.65" x14ac:dyDescent="0.35">
      <c r="B24" s="234" t="str">
        <f>IF(OR(SUM($F$21:$F$23)&lt;$F$20,SUM($F$21:$F$23)&gt;$F$20),"Area does not equate to 100%","")</f>
        <v/>
      </c>
      <c r="C24" s="235"/>
      <c r="D24" s="235"/>
      <c r="E24" s="235"/>
      <c r="F24" s="236"/>
      <c r="H24" s="188">
        <v>11</v>
      </c>
      <c r="I24" s="216">
        <f t="shared" si="0"/>
        <v>5.7696708912404491</v>
      </c>
    </row>
    <row r="25" spans="1:9" ht="14.65" x14ac:dyDescent="0.35">
      <c r="B25" s="197"/>
      <c r="E25" s="198"/>
      <c r="F25" s="30"/>
      <c r="H25" s="188">
        <v>12</v>
      </c>
      <c r="I25" s="216">
        <f t="shared" si="0"/>
        <v>6.3347779047619071</v>
      </c>
    </row>
    <row r="26" spans="1:9" ht="15.4" x14ac:dyDescent="0.35">
      <c r="B26" s="199" t="s">
        <v>353</v>
      </c>
      <c r="C26" s="200" t="s">
        <v>354</v>
      </c>
      <c r="E26" s="189" t="s">
        <v>355</v>
      </c>
      <c r="H26" s="188">
        <v>13</v>
      </c>
      <c r="I26" s="216">
        <f t="shared" si="0"/>
        <v>6.9127551358024713</v>
      </c>
    </row>
    <row r="27" spans="1:9" ht="14.65" x14ac:dyDescent="0.35">
      <c r="E27" s="189" t="s">
        <v>356</v>
      </c>
      <c r="F27" s="201">
        <f>C14</f>
        <v>0.52</v>
      </c>
      <c r="H27" s="188">
        <v>14</v>
      </c>
      <c r="I27" s="216">
        <f t="shared" si="0"/>
        <v>7.504928263374488</v>
      </c>
    </row>
    <row r="28" spans="1:9" ht="14.65" x14ac:dyDescent="0.35">
      <c r="H28" s="188">
        <v>15</v>
      </c>
      <c r="I28" s="216">
        <f t="shared" si="0"/>
        <v>8.1125992063492092</v>
      </c>
    </row>
    <row r="29" spans="1:9" ht="14.45" x14ac:dyDescent="0.3">
      <c r="B29" s="237" t="s">
        <v>357</v>
      </c>
      <c r="C29" s="237"/>
      <c r="D29" s="237"/>
      <c r="E29" s="237"/>
      <c r="F29" s="237"/>
      <c r="H29" s="188">
        <v>16</v>
      </c>
      <c r="I29" s="216">
        <f t="shared" si="0"/>
        <v>8.7370461234567927</v>
      </c>
    </row>
    <row r="30" spans="1:9" ht="14.45" x14ac:dyDescent="0.3">
      <c r="B30" s="200" t="s">
        <v>358</v>
      </c>
      <c r="F30" s="200" t="s">
        <v>359</v>
      </c>
      <c r="H30" s="188">
        <v>17</v>
      </c>
      <c r="I30" s="216">
        <f t="shared" si="0"/>
        <v>9.3795234132863055</v>
      </c>
    </row>
    <row r="31" spans="1:9" ht="14.45" x14ac:dyDescent="0.3">
      <c r="A31" s="189" t="str">
        <f>"(6)"</f>
        <v>(6)</v>
      </c>
      <c r="B31" s="202">
        <f>$D$21^4/4</f>
        <v>202500</v>
      </c>
      <c r="C31" s="203">
        <f>$D$21^3/3</f>
        <v>9000</v>
      </c>
      <c r="D31" s="204">
        <f>$D$21^2/2</f>
        <v>450</v>
      </c>
      <c r="F31" s="205">
        <f>F21-$C$14*D21</f>
        <v>4.3000000000000007</v>
      </c>
      <c r="H31" s="188">
        <v>18</v>
      </c>
      <c r="I31" s="216">
        <f t="shared" si="0"/>
        <v>10.041261714285717</v>
      </c>
    </row>
    <row r="32" spans="1:9" ht="14.45" x14ac:dyDescent="0.3">
      <c r="A32" s="189" t="str">
        <f>"(7)"</f>
        <v>(7)</v>
      </c>
      <c r="B32" s="202">
        <f>$D$22^4/4-$C$22^4/4</f>
        <v>16200000</v>
      </c>
      <c r="C32" s="203">
        <f>$D$22^3/3-$C$22^3/3</f>
        <v>234000</v>
      </c>
      <c r="D32" s="204">
        <f>$D$22^2/2-$C$22^2/2</f>
        <v>3600</v>
      </c>
      <c r="F32" s="205">
        <f>F22-$C$14*D22+$C$14*C22</f>
        <v>108.09999999999997</v>
      </c>
      <c r="H32" s="188">
        <v>19</v>
      </c>
      <c r="I32" s="216">
        <f t="shared" si="0"/>
        <v>10.723467904761909</v>
      </c>
    </row>
    <row r="33" spans="1:22" ht="14.45" x14ac:dyDescent="0.3">
      <c r="A33" s="189" t="str">
        <f>"(8)"</f>
        <v>(8)</v>
      </c>
      <c r="B33" s="202">
        <f>$D$23^4/4-$C$23^4/4</f>
        <v>8597500</v>
      </c>
      <c r="C33" s="203">
        <f>$D$23^3/3-$C$23^3/3</f>
        <v>90333.333333333314</v>
      </c>
      <c r="D33" s="204">
        <f>$D$23^2/2-$C$23^2/2</f>
        <v>950</v>
      </c>
      <c r="F33" s="205">
        <f>F23-$C$14*D23+$C$14*C23</f>
        <v>34.600000000000009</v>
      </c>
      <c r="H33" s="188">
        <v>20</v>
      </c>
      <c r="I33" s="216">
        <f t="shared" si="0"/>
        <v>11.427325102880662</v>
      </c>
    </row>
    <row r="34" spans="1:22" ht="14.45" x14ac:dyDescent="0.3">
      <c r="H34" s="188">
        <v>21</v>
      </c>
      <c r="I34" s="216">
        <f t="shared" si="0"/>
        <v>12.153992666666671</v>
      </c>
    </row>
    <row r="35" spans="1:22" x14ac:dyDescent="0.25">
      <c r="B35" s="200" t="s">
        <v>360</v>
      </c>
      <c r="F35" s="200" t="s">
        <v>361</v>
      </c>
      <c r="H35" s="188">
        <v>22</v>
      </c>
      <c r="I35" s="216">
        <f t="shared" si="0"/>
        <v>12.904606194003533</v>
      </c>
      <c r="M35" s="231"/>
      <c r="N35" s="231"/>
      <c r="O35" s="231"/>
      <c r="P35" s="231"/>
      <c r="Q35" s="231"/>
      <c r="R35" s="231"/>
      <c r="S35" s="231"/>
      <c r="T35" s="231"/>
      <c r="U35" s="231"/>
      <c r="V35" s="231"/>
    </row>
    <row r="36" spans="1:22" x14ac:dyDescent="0.25">
      <c r="B36" s="206">
        <f t="array" ref="B36:D38">MINVERSE(B31:D33)</f>
        <v>8.0658436213991677E-7</v>
      </c>
      <c r="C36" s="207">
        <v>-2.5161669606114027E-7</v>
      </c>
      <c r="D36" s="208">
        <v>5.7142857142857096E-7</v>
      </c>
      <c r="F36" s="209">
        <f t="array" ref="F36:F38">MMULT(B36:D38,F31:F33)</f>
        <v>-3.9600235155790538E-6</v>
      </c>
      <c r="H36" s="188">
        <v>23</v>
      </c>
      <c r="I36" s="216">
        <f t="shared" si="0"/>
        <v>13.68027752263375</v>
      </c>
      <c r="M36" s="231"/>
      <c r="N36" s="231"/>
      <c r="O36" s="231"/>
      <c r="P36" s="231"/>
      <c r="Q36" s="231"/>
      <c r="R36" s="231"/>
      <c r="S36" s="231"/>
      <c r="T36" s="231"/>
      <c r="U36" s="231"/>
      <c r="V36" s="231"/>
    </row>
    <row r="37" spans="1:22" x14ac:dyDescent="0.25">
      <c r="B37" s="206">
        <v>-1.2197530864197523E-4</v>
      </c>
      <c r="C37" s="207">
        <v>2.8818342151675462E-5</v>
      </c>
      <c r="D37" s="208">
        <v>-5.1428571428571388E-5</v>
      </c>
      <c r="F37" s="209">
        <v>8.1134038800705272E-4</v>
      </c>
      <c r="H37" s="188">
        <v>24</v>
      </c>
      <c r="I37" s="216">
        <f t="shared" si="0"/>
        <v>14.482094730158735</v>
      </c>
      <c r="M37" s="231"/>
      <c r="N37" s="231"/>
      <c r="O37" s="231"/>
      <c r="P37" s="231"/>
      <c r="Q37" s="231"/>
      <c r="R37" s="231"/>
      <c r="S37" s="231"/>
      <c r="T37" s="231"/>
      <c r="U37" s="231"/>
      <c r="V37" s="231"/>
    </row>
    <row r="38" spans="1:22" x14ac:dyDescent="0.25">
      <c r="B38" s="206">
        <v>4.2987654320987643E-3</v>
      </c>
      <c r="C38" s="207">
        <v>-4.631393298059961E-4</v>
      </c>
      <c r="D38" s="208">
        <v>7.714285714285708E-4</v>
      </c>
      <c r="F38" s="209">
        <v>-4.8892416225749143E-3</v>
      </c>
      <c r="H38" s="188">
        <v>25</v>
      </c>
      <c r="I38" s="216">
        <f t="shared" si="0"/>
        <v>15.311122134038806</v>
      </c>
      <c r="M38" s="231"/>
      <c r="N38" s="231"/>
      <c r="O38" s="231"/>
      <c r="P38" s="231"/>
      <c r="Q38" s="231"/>
      <c r="R38" s="231"/>
      <c r="S38" s="231"/>
      <c r="T38" s="231"/>
      <c r="U38" s="231"/>
      <c r="V38" s="231"/>
    </row>
    <row r="39" spans="1:22" x14ac:dyDescent="0.25">
      <c r="H39" s="188">
        <v>26</v>
      </c>
      <c r="I39" s="216">
        <f t="shared" si="0"/>
        <v>16.168400291593183</v>
      </c>
    </row>
    <row r="40" spans="1:22" x14ac:dyDescent="0.25">
      <c r="B40" s="200" t="s">
        <v>362</v>
      </c>
      <c r="C40" s="210" t="s">
        <v>363</v>
      </c>
      <c r="D40" s="200" t="s">
        <v>364</v>
      </c>
      <c r="E40" s="189" t="s">
        <v>365</v>
      </c>
      <c r="F40">
        <f>F36</f>
        <v>-3.9600235155790538E-6</v>
      </c>
      <c r="H40" s="188">
        <v>27</v>
      </c>
      <c r="I40" s="216">
        <f t="shared" si="0"/>
        <v>17.054946000000008</v>
      </c>
    </row>
    <row r="41" spans="1:22" x14ac:dyDescent="0.25">
      <c r="C41" s="200"/>
      <c r="E41" s="189" t="s">
        <v>366</v>
      </c>
      <c r="F41">
        <f>F37</f>
        <v>8.1134038800705272E-4</v>
      </c>
      <c r="H41" s="188">
        <v>28</v>
      </c>
      <c r="I41" s="216">
        <f t="shared" si="0"/>
        <v>17.971752296296302</v>
      </c>
    </row>
    <row r="42" spans="1:22" x14ac:dyDescent="0.25">
      <c r="E42" s="189" t="s">
        <v>367</v>
      </c>
      <c r="F42">
        <f>F38</f>
        <v>-4.8892416225749143E-3</v>
      </c>
      <c r="H42" s="188">
        <v>29</v>
      </c>
      <c r="I42" s="216">
        <f t="shared" si="0"/>
        <v>18.919788457378019</v>
      </c>
    </row>
    <row r="43" spans="1:22" x14ac:dyDescent="0.25">
      <c r="E43" s="189" t="s">
        <v>368</v>
      </c>
      <c r="F43">
        <f>C14</f>
        <v>0.52</v>
      </c>
      <c r="H43" s="188">
        <v>30</v>
      </c>
      <c r="I43" s="216">
        <f t="shared" si="0"/>
        <v>19.900000000000006</v>
      </c>
    </row>
    <row r="44" spans="1:22" x14ac:dyDescent="0.25">
      <c r="H44" s="188">
        <v>31</v>
      </c>
      <c r="I44" s="216">
        <f t="shared" si="0"/>
        <v>20.913308680776019</v>
      </c>
    </row>
    <row r="45" spans="1:22" x14ac:dyDescent="0.25">
      <c r="B45" s="232" t="s">
        <v>369</v>
      </c>
      <c r="C45" s="232"/>
      <c r="H45" s="188">
        <v>32</v>
      </c>
      <c r="I45" s="216">
        <f t="shared" si="0"/>
        <v>21.960612496178726</v>
      </c>
    </row>
    <row r="46" spans="1:22" x14ac:dyDescent="0.25">
      <c r="B46" s="187" t="s">
        <v>344</v>
      </c>
      <c r="C46" s="187" t="s">
        <v>345</v>
      </c>
      <c r="H46" s="188">
        <v>33</v>
      </c>
      <c r="I46" s="216">
        <f t="shared" si="0"/>
        <v>23.042785682539687</v>
      </c>
    </row>
    <row r="47" spans="1:22" x14ac:dyDescent="0.25">
      <c r="A47" s="189" t="str">
        <f>"(1)"</f>
        <v>(1)</v>
      </c>
      <c r="B47" s="211">
        <v>0</v>
      </c>
      <c r="C47" s="212">
        <f>$F$36*B47^3+$F$37*B47^2+$F$38*B47+$F$43</f>
        <v>0.52</v>
      </c>
      <c r="H47" s="188">
        <v>34</v>
      </c>
      <c r="I47" s="216">
        <f t="shared" si="0"/>
        <v>24.160678716049389</v>
      </c>
    </row>
    <row r="48" spans="1:22" x14ac:dyDescent="0.25">
      <c r="A48" s="189" t="str">
        <f>"(2)"</f>
        <v>(2)</v>
      </c>
      <c r="B48" s="211">
        <f>B15</f>
        <v>30</v>
      </c>
      <c r="C48" s="212">
        <f t="shared" ref="C48:C50" si="2">$F$36*B48^3+$F$37*B48^2+$F$38*B48+$F$43</f>
        <v>0.99660846560846561</v>
      </c>
      <c r="H48" s="188">
        <v>35</v>
      </c>
      <c r="I48" s="216">
        <f t="shared" si="0"/>
        <v>25.315118312757203</v>
      </c>
    </row>
    <row r="49" spans="1:9" x14ac:dyDescent="0.25">
      <c r="A49" s="189" t="str">
        <f>"(3)"</f>
        <v>(3)</v>
      </c>
      <c r="B49" s="211">
        <f>B16</f>
        <v>90</v>
      </c>
      <c r="C49" s="212">
        <f t="shared" si="2"/>
        <v>3.7649682539682541</v>
      </c>
      <c r="H49" s="188">
        <v>36</v>
      </c>
      <c r="I49" s="216">
        <f t="shared" si="0"/>
        <v>26.506907428571431</v>
      </c>
    </row>
    <row r="50" spans="1:9" x14ac:dyDescent="0.25">
      <c r="A50" s="189" t="str">
        <f>"(4)"</f>
        <v>(4)</v>
      </c>
      <c r="B50" s="211">
        <v>100</v>
      </c>
      <c r="C50" s="212">
        <f t="shared" si="2"/>
        <v>4.1844562022339815</v>
      </c>
      <c r="H50" s="188">
        <v>37</v>
      </c>
      <c r="I50" s="216">
        <f t="shared" si="0"/>
        <v>27.736825259259266</v>
      </c>
    </row>
    <row r="51" spans="1:9" x14ac:dyDescent="0.25">
      <c r="H51" s="188">
        <v>38</v>
      </c>
      <c r="I51" s="216">
        <f t="shared" si="0"/>
        <v>29.005627240446803</v>
      </c>
    </row>
    <row r="52" spans="1:9" x14ac:dyDescent="0.25">
      <c r="H52" s="188">
        <v>39</v>
      </c>
      <c r="I52" s="216">
        <f t="shared" si="0"/>
        <v>30.314045047619054</v>
      </c>
    </row>
    <row r="53" spans="1:9" x14ac:dyDescent="0.25">
      <c r="H53" s="188">
        <v>40</v>
      </c>
      <c r="I53" s="216">
        <f t="shared" si="0"/>
        <v>31.662786596119936</v>
      </c>
    </row>
    <row r="54" spans="1:9" x14ac:dyDescent="0.25">
      <c r="H54" s="188">
        <v>41</v>
      </c>
      <c r="I54" s="216">
        <f t="shared" si="0"/>
        <v>33.052536041152266</v>
      </c>
    </row>
    <row r="55" spans="1:9" x14ac:dyDescent="0.25">
      <c r="H55" s="188">
        <v>42</v>
      </c>
      <c r="I55" s="216">
        <f t="shared" si="0"/>
        <v>34.483953777777778</v>
      </c>
    </row>
    <row r="56" spans="1:9" x14ac:dyDescent="0.25">
      <c r="H56" s="188">
        <v>43</v>
      </c>
      <c r="I56" s="216">
        <f t="shared" si="0"/>
        <v>35.957676440917112</v>
      </c>
    </row>
    <row r="57" spans="1:9" x14ac:dyDescent="0.25">
      <c r="H57" s="188">
        <v>44</v>
      </c>
      <c r="I57" s="216">
        <f t="shared" si="0"/>
        <v>37.474316905349795</v>
      </c>
    </row>
    <row r="58" spans="1:9" x14ac:dyDescent="0.25">
      <c r="H58" s="188">
        <v>45</v>
      </c>
      <c r="I58" s="216">
        <f t="shared" si="0"/>
        <v>39.034464285714286</v>
      </c>
    </row>
    <row r="59" spans="1:9" x14ac:dyDescent="0.25">
      <c r="H59" s="188">
        <v>46</v>
      </c>
      <c r="I59" s="216">
        <f t="shared" si="0"/>
        <v>40.638683936507938</v>
      </c>
    </row>
    <row r="60" spans="1:9" x14ac:dyDescent="0.25">
      <c r="H60" s="188">
        <v>47</v>
      </c>
      <c r="I60" s="216">
        <f t="shared" si="0"/>
        <v>42.287517452087016</v>
      </c>
    </row>
    <row r="61" spans="1:9" x14ac:dyDescent="0.25">
      <c r="H61" s="188">
        <v>48</v>
      </c>
      <c r="I61" s="216">
        <f t="shared" si="0"/>
        <v>43.981482666666665</v>
      </c>
    </row>
    <row r="62" spans="1:9" x14ac:dyDescent="0.25">
      <c r="H62" s="188">
        <v>49</v>
      </c>
      <c r="I62" s="216">
        <f t="shared" si="0"/>
        <v>45.721073654320989</v>
      </c>
    </row>
    <row r="63" spans="1:9" x14ac:dyDescent="0.25">
      <c r="H63" s="188">
        <v>50</v>
      </c>
      <c r="I63" s="216">
        <f t="shared" si="0"/>
        <v>47.506760728982954</v>
      </c>
    </row>
    <row r="64" spans="1:9" x14ac:dyDescent="0.25">
      <c r="H64" s="188">
        <v>51</v>
      </c>
      <c r="I64" s="216">
        <f t="shared" si="0"/>
        <v>49.338990444444441</v>
      </c>
    </row>
    <row r="65" spans="8:9" x14ac:dyDescent="0.25">
      <c r="H65" s="188">
        <v>52</v>
      </c>
      <c r="I65" s="216">
        <f t="shared" si="0"/>
        <v>51.218185594356257</v>
      </c>
    </row>
    <row r="66" spans="8:9" x14ac:dyDescent="0.25">
      <c r="H66" s="188">
        <v>53</v>
      </c>
      <c r="I66" s="216">
        <f t="shared" si="0"/>
        <v>53.144745212228102</v>
      </c>
    </row>
    <row r="67" spans="8:9" x14ac:dyDescent="0.25">
      <c r="H67" s="188">
        <v>54</v>
      </c>
      <c r="I67" s="216">
        <f t="shared" si="0"/>
        <v>55.119044571428574</v>
      </c>
    </row>
    <row r="68" spans="8:9" x14ac:dyDescent="0.25">
      <c r="H68" s="188">
        <v>55</v>
      </c>
      <c r="I68" s="216">
        <f t="shared" si="0"/>
        <v>57.141435185185181</v>
      </c>
    </row>
    <row r="69" spans="8:9" x14ac:dyDescent="0.25">
      <c r="H69" s="188">
        <v>56</v>
      </c>
      <c r="I69" s="216">
        <f t="shared" si="0"/>
        <v>59.212244806584351</v>
      </c>
    </row>
    <row r="70" spans="8:9" x14ac:dyDescent="0.25">
      <c r="H70" s="188">
        <v>57</v>
      </c>
      <c r="I70" s="216">
        <f t="shared" si="0"/>
        <v>61.331777428571414</v>
      </c>
    </row>
    <row r="71" spans="8:9" x14ac:dyDescent="0.25">
      <c r="H71" s="188">
        <v>58</v>
      </c>
      <c r="I71" s="216">
        <f t="shared" si="0"/>
        <v>63.500313283950618</v>
      </c>
    </row>
    <row r="72" spans="8:9" x14ac:dyDescent="0.25">
      <c r="H72" s="188">
        <v>59</v>
      </c>
      <c r="I72" s="216">
        <f t="shared" si="0"/>
        <v>65.718108845385046</v>
      </c>
    </row>
    <row r="73" spans="8:9" x14ac:dyDescent="0.25">
      <c r="H73" s="188">
        <v>60</v>
      </c>
      <c r="I73" s="216">
        <f t="shared" si="0"/>
        <v>67.985396825396819</v>
      </c>
    </row>
    <row r="74" spans="8:9" x14ac:dyDescent="0.25">
      <c r="H74" s="188">
        <v>61</v>
      </c>
      <c r="I74" s="216">
        <f t="shared" si="0"/>
        <v>70.302386176366838</v>
      </c>
    </row>
    <row r="75" spans="8:9" x14ac:dyDescent="0.25">
      <c r="H75" s="188">
        <v>62</v>
      </c>
      <c r="I75" s="216">
        <f t="shared" si="0"/>
        <v>72.669262090534971</v>
      </c>
    </row>
    <row r="76" spans="8:9" x14ac:dyDescent="0.25">
      <c r="H76" s="188">
        <v>63</v>
      </c>
      <c r="I76" s="216">
        <f t="shared" si="0"/>
        <v>75.086185999999998</v>
      </c>
    </row>
    <row r="77" spans="8:9" x14ac:dyDescent="0.25">
      <c r="H77" s="188">
        <v>64</v>
      </c>
      <c r="I77" s="216">
        <f t="shared" si="0"/>
        <v>77.553295576719563</v>
      </c>
    </row>
    <row r="78" spans="8:9" x14ac:dyDescent="0.25">
      <c r="H78" s="188">
        <v>65</v>
      </c>
      <c r="I78" s="216">
        <f t="shared" ref="I78:I113" si="3">$F$40*H78^4/4+$F$41*H78^3/3+$F$42*H78^2/2+$F$43*H78</f>
        <v>80.070704732510279</v>
      </c>
    </row>
    <row r="79" spans="8:9" x14ac:dyDescent="0.25">
      <c r="H79" s="188">
        <v>66</v>
      </c>
      <c r="I79" s="216">
        <f t="shared" si="3"/>
        <v>82.638503619047611</v>
      </c>
    </row>
    <row r="80" spans="8:9" x14ac:dyDescent="0.25">
      <c r="H80" s="188">
        <v>67</v>
      </c>
      <c r="I80" s="216">
        <f t="shared" si="3"/>
        <v>85.256758627865949</v>
      </c>
    </row>
    <row r="81" spans="8:9" x14ac:dyDescent="0.25">
      <c r="H81" s="188">
        <v>68</v>
      </c>
      <c r="I81" s="216">
        <f t="shared" si="3"/>
        <v>87.925512390358591</v>
      </c>
    </row>
    <row r="82" spans="8:9" x14ac:dyDescent="0.25">
      <c r="H82" s="188">
        <v>69</v>
      </c>
      <c r="I82" s="216">
        <f t="shared" si="3"/>
        <v>90.644783777777747</v>
      </c>
    </row>
    <row r="83" spans="8:9" x14ac:dyDescent="0.25">
      <c r="H83" s="188">
        <v>70</v>
      </c>
      <c r="I83" s="216">
        <f t="shared" si="3"/>
        <v>93.414567901234534</v>
      </c>
    </row>
    <row r="84" spans="8:9" x14ac:dyDescent="0.25">
      <c r="H84" s="188">
        <v>71</v>
      </c>
      <c r="I84" s="216">
        <f t="shared" si="3"/>
        <v>96.234836111698968</v>
      </c>
    </row>
    <row r="85" spans="8:9" x14ac:dyDescent="0.25">
      <c r="H85" s="188">
        <v>72</v>
      </c>
      <c r="I85" s="216">
        <f t="shared" si="3"/>
        <v>99.105535999999972</v>
      </c>
    </row>
    <row r="86" spans="8:9" x14ac:dyDescent="0.25">
      <c r="H86" s="188">
        <v>73</v>
      </c>
      <c r="I86" s="216">
        <f t="shared" si="3"/>
        <v>102.02659139682538</v>
      </c>
    </row>
    <row r="87" spans="8:9" x14ac:dyDescent="0.25">
      <c r="H87" s="188">
        <v>74</v>
      </c>
      <c r="I87" s="216">
        <f t="shared" si="3"/>
        <v>104.99790237272192</v>
      </c>
    </row>
    <row r="88" spans="8:9" x14ac:dyDescent="0.25">
      <c r="H88" s="188">
        <v>75</v>
      </c>
      <c r="I88" s="216">
        <f t="shared" si="3"/>
        <v>108.0193452380952</v>
      </c>
    </row>
    <row r="89" spans="8:9" x14ac:dyDescent="0.25">
      <c r="H89" s="188">
        <v>76</v>
      </c>
      <c r="I89" s="216">
        <f t="shared" si="3"/>
        <v>111.09077254320988</v>
      </c>
    </row>
    <row r="90" spans="8:9" x14ac:dyDescent="0.25">
      <c r="H90" s="188">
        <v>77</v>
      </c>
      <c r="I90" s="216">
        <f t="shared" si="3"/>
        <v>114.21201307818927</v>
      </c>
    </row>
    <row r="91" spans="8:9" x14ac:dyDescent="0.25">
      <c r="H91" s="188">
        <v>78</v>
      </c>
      <c r="I91" s="216">
        <f t="shared" si="3"/>
        <v>117.38287187301587</v>
      </c>
    </row>
    <row r="92" spans="8:9" x14ac:dyDescent="0.25">
      <c r="H92" s="188">
        <v>79</v>
      </c>
      <c r="I92" s="216">
        <f t="shared" si="3"/>
        <v>120.60313019753085</v>
      </c>
    </row>
    <row r="93" spans="8:9" x14ac:dyDescent="0.25">
      <c r="H93" s="188">
        <v>80</v>
      </c>
      <c r="I93" s="216">
        <f t="shared" si="3"/>
        <v>123.87254556143446</v>
      </c>
    </row>
    <row r="94" spans="8:9" x14ac:dyDescent="0.25">
      <c r="H94" s="188">
        <v>81</v>
      </c>
      <c r="I94" s="216">
        <f t="shared" si="3"/>
        <v>127.1908517142857</v>
      </c>
    </row>
    <row r="95" spans="8:9" x14ac:dyDescent="0.25">
      <c r="H95" s="188">
        <v>82</v>
      </c>
      <c r="I95" s="216">
        <f t="shared" si="3"/>
        <v>130.55775864550264</v>
      </c>
    </row>
    <row r="96" spans="8:9" x14ac:dyDescent="0.25">
      <c r="H96" s="188">
        <v>83</v>
      </c>
      <c r="I96" s="216">
        <f t="shared" si="3"/>
        <v>133.9729525843621</v>
      </c>
    </row>
    <row r="97" spans="8:9" x14ac:dyDescent="0.25">
      <c r="H97" s="188">
        <v>84</v>
      </c>
      <c r="I97" s="216">
        <f t="shared" si="3"/>
        <v>137.43609599999996</v>
      </c>
    </row>
    <row r="98" spans="8:9" x14ac:dyDescent="0.25">
      <c r="H98" s="188">
        <v>85</v>
      </c>
      <c r="I98" s="216">
        <f t="shared" si="3"/>
        <v>140.94682760141092</v>
      </c>
    </row>
    <row r="99" spans="8:9" x14ac:dyDescent="0.25">
      <c r="H99" s="188">
        <v>86</v>
      </c>
      <c r="I99" s="216">
        <f t="shared" si="3"/>
        <v>144.50476233744854</v>
      </c>
    </row>
    <row r="100" spans="8:9" x14ac:dyDescent="0.25">
      <c r="H100" s="188">
        <v>87</v>
      </c>
      <c r="I100" s="216">
        <f t="shared" si="3"/>
        <v>148.10949139682538</v>
      </c>
    </row>
    <row r="101" spans="8:9" x14ac:dyDescent="0.25">
      <c r="H101" s="188">
        <v>88</v>
      </c>
      <c r="I101" s="216">
        <f t="shared" si="3"/>
        <v>151.76058220811285</v>
      </c>
    </row>
    <row r="102" spans="8:9" x14ac:dyDescent="0.25">
      <c r="H102" s="188">
        <v>89</v>
      </c>
      <c r="I102" s="216">
        <f t="shared" si="3"/>
        <v>155.4575784397413</v>
      </c>
    </row>
    <row r="103" spans="8:9" x14ac:dyDescent="0.25">
      <c r="H103" s="188">
        <v>90</v>
      </c>
      <c r="I103" s="216">
        <f t="shared" si="3"/>
        <v>159.19999999999999</v>
      </c>
    </row>
    <row r="104" spans="8:9" x14ac:dyDescent="0.25">
      <c r="H104" s="188">
        <v>91</v>
      </c>
      <c r="I104" s="216">
        <f t="shared" si="3"/>
        <v>162.98734303703705</v>
      </c>
    </row>
    <row r="105" spans="8:9" x14ac:dyDescent="0.25">
      <c r="H105" s="188">
        <v>92</v>
      </c>
      <c r="I105" s="216">
        <f t="shared" si="3"/>
        <v>166.81907993885946</v>
      </c>
    </row>
    <row r="106" spans="8:9" x14ac:dyDescent="0.25">
      <c r="H106" s="188">
        <v>93</v>
      </c>
      <c r="I106" s="216">
        <f t="shared" si="3"/>
        <v>170.69465933333328</v>
      </c>
    </row>
    <row r="107" spans="8:9" x14ac:dyDescent="0.25">
      <c r="H107" s="188">
        <v>94</v>
      </c>
      <c r="I107" s="216">
        <f t="shared" si="3"/>
        <v>174.61350608818341</v>
      </c>
    </row>
    <row r="108" spans="8:9" x14ac:dyDescent="0.25">
      <c r="H108" s="188">
        <v>95</v>
      </c>
      <c r="I108" s="216">
        <f t="shared" si="3"/>
        <v>178.57502131099352</v>
      </c>
    </row>
    <row r="109" spans="8:9" x14ac:dyDescent="0.25">
      <c r="H109" s="188">
        <v>96</v>
      </c>
      <c r="I109" s="216">
        <f t="shared" si="3"/>
        <v>182.57858234920633</v>
      </c>
    </row>
    <row r="110" spans="8:9" x14ac:dyDescent="0.25">
      <c r="H110" s="188">
        <v>97</v>
      </c>
      <c r="I110" s="216">
        <f t="shared" si="3"/>
        <v>186.62354279012345</v>
      </c>
    </row>
    <row r="111" spans="8:9" x14ac:dyDescent="0.25">
      <c r="H111" s="188">
        <v>98</v>
      </c>
      <c r="I111" s="216">
        <f t="shared" si="3"/>
        <v>190.70923246090533</v>
      </c>
    </row>
    <row r="112" spans="8:9" x14ac:dyDescent="0.25">
      <c r="H112" s="188">
        <v>99</v>
      </c>
      <c r="I112" s="216">
        <f t="shared" si="3"/>
        <v>194.83495742857139</v>
      </c>
    </row>
    <row r="113" spans="8:11" x14ac:dyDescent="0.25">
      <c r="H113" s="188">
        <v>100</v>
      </c>
      <c r="I113" s="216">
        <f t="shared" si="3"/>
        <v>199</v>
      </c>
      <c r="K113" s="30"/>
    </row>
  </sheetData>
  <sheetProtection algorithmName="SHA-512" hashValue="xiBsYJ0BqAVqMUOuZaO5GoNNGdXOqj+Ns/aRt/PZzrQK7k5pESWclYt3m97SiKyqUSMTklZRur7ZcEjyr/tfag==" saltValue="cKB8ZKCSdyl9KVBjpqpkEg==" spinCount="100000" sheet="1" objects="1" scenarios="1"/>
  <mergeCells count="8">
    <mergeCell ref="M37:V38"/>
    <mergeCell ref="B45:C45"/>
    <mergeCell ref="B10:F10"/>
    <mergeCell ref="B12:C12"/>
    <mergeCell ref="B24:F24"/>
    <mergeCell ref="B29:F29"/>
    <mergeCell ref="M35:V36"/>
    <mergeCell ref="H11:I11"/>
  </mergeCells>
  <conditionalFormatting sqref="F21:F23">
    <cfRule type="expression" dxfId="0" priority="1">
      <formula>OR(SUM($F$21:$F$23)&lt;$F$20,SUM($F$21:$F$23)&gt;$F$20)</formula>
    </cfRule>
  </conditionalFormatting>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6:D11"/>
  <sheetViews>
    <sheetView workbookViewId="0">
      <selection activeCell="F19" sqref="F19"/>
    </sheetView>
  </sheetViews>
  <sheetFormatPr defaultRowHeight="15" x14ac:dyDescent="0.25"/>
  <cols>
    <col min="4" max="4" width="30.42578125" bestFit="1" customWidth="1"/>
  </cols>
  <sheetData>
    <row r="6" spans="4:4" x14ac:dyDescent="0.35">
      <c r="D6" s="1" t="s">
        <v>16</v>
      </c>
    </row>
    <row r="7" spans="4:4" x14ac:dyDescent="0.35">
      <c r="D7" t="s">
        <v>11</v>
      </c>
    </row>
    <row r="8" spans="4:4" x14ac:dyDescent="0.35">
      <c r="D8" t="s">
        <v>12</v>
      </c>
    </row>
    <row r="9" spans="4:4" x14ac:dyDescent="0.35">
      <c r="D9" t="s">
        <v>13</v>
      </c>
    </row>
    <row r="10" spans="4:4" x14ac:dyDescent="0.35">
      <c r="D10" t="s">
        <v>14</v>
      </c>
    </row>
    <row r="11" spans="4:4" x14ac:dyDescent="0.35">
      <c r="D11"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Cover Sheet</vt:lpstr>
      <vt:lpstr>Scenario Assumptions</vt:lpstr>
      <vt:lpstr>Scenario Layouts</vt:lpstr>
      <vt:lpstr>Benchmark Unit Rates</vt:lpstr>
      <vt:lpstr>Example Scenarios</vt:lpstr>
      <vt:lpstr>Operating Cost Summary</vt:lpstr>
      <vt:lpstr>Renewal Costs</vt:lpstr>
      <vt:lpstr>Lifecycle Operating Costs</vt:lpstr>
      <vt:lpstr>Gravity Sewer Main</vt:lpstr>
      <vt:lpstr>Pressure Sewer Main</vt:lpstr>
      <vt:lpstr>Water Main</vt:lpstr>
      <vt:lpstr>Name Ranges</vt:lpstr>
      <vt:lpstr>'Benchmark Unit Rates'!Print_Area</vt:lpstr>
      <vt:lpstr>'Cover Sheet'!Print_Area</vt:lpstr>
      <vt:lpstr>'Example Scenarios'!Print_Area</vt:lpstr>
      <vt:lpstr>Service_Names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Ryan</dc:creator>
  <cp:lastModifiedBy>Maria Tortura</cp:lastModifiedBy>
  <cp:lastPrinted>2016-09-30T04:21:48Z</cp:lastPrinted>
  <dcterms:created xsi:type="dcterms:W3CDTF">2016-09-20T03:40:10Z</dcterms:created>
  <dcterms:modified xsi:type="dcterms:W3CDTF">2017-03-23T04:52:34Z</dcterms:modified>
</cp:coreProperties>
</file>