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D67E311A-38A3-443F-A971-6D51C5F21195}" xr6:coauthVersionLast="47" xr6:coauthVersionMax="47" xr10:uidLastSave="{00000000-0000-0000-0000-000000000000}"/>
  <bookViews>
    <workbookView xWindow="-25320" yWindow="120" windowWidth="25440" windowHeight="15390" tabRatio="722" firstSheet="3"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20" l="1"/>
  <c r="E15" i="17"/>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Q23" i="17" s="1" a="1"/>
  <c r="Q23" i="17" s="1"/>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T68" i="20" l="1"/>
  <c r="Q67" i="20"/>
  <c r="T67" i="20"/>
  <c r="L69" i="20"/>
  <c r="M69" i="20" s="1"/>
  <c r="E68" i="20"/>
  <c r="D70" i="20"/>
  <c r="C41" i="19"/>
  <c r="D41" i="19" s="1"/>
  <c r="E69" i="20" s="1"/>
  <c r="T69" i="20" l="1"/>
  <c r="Q69" i="20"/>
  <c r="Q68" i="20"/>
  <c r="L70" i="20"/>
  <c r="M70" i="20" s="1"/>
  <c r="D71" i="20"/>
  <c r="C42" i="19"/>
  <c r="D42" i="19" s="1"/>
  <c r="E70" i="20" s="1"/>
  <c r="T70" i="20" l="1"/>
  <c r="Q70" i="20"/>
  <c r="L71" i="20"/>
  <c r="M71" i="20" s="1"/>
  <c r="C43" i="19"/>
  <c r="D43" i="19" s="1"/>
  <c r="D72" i="20"/>
  <c r="N72" i="20" s="1"/>
  <c r="L72" i="20" l="1"/>
  <c r="M72" i="20" s="1"/>
  <c r="E71" i="20"/>
  <c r="D73" i="20"/>
  <c r="N73" i="20" s="1"/>
  <c r="C44" i="19"/>
  <c r="D44" i="19" s="1"/>
  <c r="Q71" i="20" l="1"/>
  <c r="T71" i="20"/>
  <c r="L73" i="20"/>
  <c r="M73" i="20" s="1"/>
  <c r="E72" i="20"/>
  <c r="C45" i="19"/>
  <c r="D45" i="19" s="1"/>
  <c r="D74" i="20"/>
  <c r="T72" i="20" l="1"/>
  <c r="Q72" i="20"/>
  <c r="E73" i="20"/>
  <c r="L74" i="20"/>
  <c r="M74" i="20" s="1"/>
  <c r="D75" i="20"/>
  <c r="N75" i="20" s="1"/>
  <c r="C46" i="19"/>
  <c r="D46" i="19" s="1"/>
  <c r="E74" i="20" s="1"/>
  <c r="T74" i="20" s="1"/>
  <c r="Q74" i="20" l="1"/>
  <c r="Q73" i="20"/>
  <c r="T73" i="20"/>
  <c r="L75" i="20"/>
  <c r="M75" i="20" s="1"/>
  <c r="D76" i="20"/>
  <c r="N76" i="20" s="1"/>
  <c r="C47" i="19"/>
  <c r="D47" i="19" s="1"/>
  <c r="E75" i="20" l="1"/>
  <c r="L76" i="20"/>
  <c r="M76" i="20" s="1"/>
  <c r="D77" i="20"/>
  <c r="N77" i="20" s="1"/>
  <c r="C48" i="19"/>
  <c r="D48" i="19" s="1"/>
  <c r="E76" i="20" s="1"/>
  <c r="T76" i="20" l="1"/>
  <c r="Q76" i="20"/>
  <c r="T75" i="20"/>
  <c r="Q75" i="20"/>
  <c r="L77" i="20"/>
  <c r="M77" i="20" s="1"/>
  <c r="D78" i="20"/>
  <c r="N78" i="20" s="1"/>
  <c r="C49" i="19"/>
  <c r="D49" i="19" s="1"/>
  <c r="E77" i="20" s="1"/>
  <c r="Q77" i="20" l="1"/>
  <c r="T77" i="20"/>
  <c r="L78" i="20"/>
  <c r="M78" i="20" s="1"/>
  <c r="D79" i="20"/>
  <c r="N79" i="20" s="1"/>
  <c r="C50" i="19"/>
  <c r="D50" i="19" s="1"/>
  <c r="E78" i="20" s="1"/>
  <c r="Q78" i="20" l="1"/>
  <c r="T78" i="20"/>
  <c r="L79" i="20"/>
  <c r="M79" i="20" s="1"/>
  <c r="C51" i="19"/>
  <c r="D51" i="19" s="1"/>
  <c r="E79" i="20" s="1"/>
  <c r="D80" i="20"/>
  <c r="N80" i="20" s="1"/>
  <c r="T79" i="20" l="1"/>
  <c r="Q79" i="20"/>
  <c r="L80" i="20"/>
  <c r="M80" i="20" s="1"/>
  <c r="D81" i="20"/>
  <c r="N81" i="20" s="1"/>
  <c r="C52" i="19"/>
  <c r="D52" i="19" s="1"/>
  <c r="L81" i="20" l="1"/>
  <c r="M81" i="20" s="1"/>
  <c r="E80" i="20"/>
  <c r="D82" i="20"/>
  <c r="N82" i="20" s="1"/>
  <c r="C53" i="19"/>
  <c r="D53" i="19" s="1"/>
  <c r="E81" i="20" s="1"/>
  <c r="Q80" i="20" l="1"/>
  <c r="T80" i="20"/>
  <c r="Q81" i="20"/>
  <c r="T81" i="20"/>
  <c r="L82" i="20"/>
  <c r="M82" i="20" s="1"/>
  <c r="D83" i="20"/>
  <c r="N83" i="20" s="1"/>
  <c r="C54" i="19"/>
  <c r="D54" i="19" s="1"/>
  <c r="E82" i="20" s="1"/>
  <c r="T82" i="20" l="1"/>
  <c r="Q82" i="20"/>
  <c r="L83" i="20"/>
  <c r="M83" i="20" s="1"/>
  <c r="D84" i="20"/>
  <c r="N84" i="20" s="1"/>
  <c r="C55" i="19"/>
  <c r="D55" i="19" s="1"/>
  <c r="L84" i="20" l="1"/>
  <c r="M84" i="20" s="1"/>
  <c r="E83" i="20"/>
  <c r="D85" i="20"/>
  <c r="N85" i="20" s="1"/>
  <c r="C56" i="19"/>
  <c r="D56" i="19" s="1"/>
  <c r="T83" i="20" l="1"/>
  <c r="Q83" i="20"/>
  <c r="L85" i="20"/>
  <c r="M85" i="20" s="1"/>
  <c r="E84" i="20"/>
  <c r="D86" i="20"/>
  <c r="N86" i="20" s="1"/>
  <c r="C57" i="19"/>
  <c r="D57" i="19" s="1"/>
  <c r="E85" i="20" s="1"/>
  <c r="T85" i="20" l="1"/>
  <c r="Q85" i="20"/>
  <c r="T84" i="20"/>
  <c r="Q84" i="20"/>
  <c r="L86" i="20"/>
  <c r="M86" i="20" s="1"/>
  <c r="D87" i="20"/>
  <c r="N87" i="20" s="1"/>
  <c r="C58" i="19"/>
  <c r="D58" i="19" s="1"/>
  <c r="L87" i="20" l="1"/>
  <c r="M87" i="20" s="1"/>
  <c r="E86" i="20"/>
  <c r="D88" i="20"/>
  <c r="N88" i="20" s="1"/>
  <c r="C59" i="19"/>
  <c r="D59" i="19" s="1"/>
  <c r="E87" i="20" s="1"/>
  <c r="T87" i="20" l="1"/>
  <c r="Q87" i="20"/>
  <c r="T86" i="20"/>
  <c r="Q86" i="20"/>
  <c r="L88" i="20"/>
  <c r="M88" i="20" s="1"/>
  <c r="D89" i="20"/>
  <c r="N89" i="20" s="1"/>
  <c r="C60" i="19"/>
  <c r="D60" i="19" s="1"/>
  <c r="E88" i="20" s="1"/>
  <c r="T88" i="20" l="1"/>
  <c r="Q88" i="20"/>
  <c r="L89" i="20"/>
  <c r="M89" i="20" s="1"/>
  <c r="C61" i="19"/>
  <c r="D61" i="19" s="1"/>
  <c r="E89" i="20" s="1"/>
  <c r="D90" i="20"/>
  <c r="N90" i="20" s="1"/>
  <c r="T89" i="20" l="1"/>
  <c r="Q89" i="20"/>
  <c r="L90" i="20"/>
  <c r="M90" i="20" s="1"/>
  <c r="D91" i="20"/>
  <c r="N91" i="20" s="1"/>
  <c r="C62" i="19"/>
  <c r="D62" i="19" s="1"/>
  <c r="E90" i="20" s="1"/>
  <c r="T90" i="20" l="1"/>
  <c r="Q90" i="20"/>
  <c r="L91" i="20"/>
  <c r="M91" i="20" s="1"/>
  <c r="D92" i="20"/>
  <c r="N92" i="20" s="1"/>
  <c r="C63" i="19"/>
  <c r="D63" i="19" s="1"/>
  <c r="E91" i="20" s="1"/>
  <c r="T91" i="20" l="1"/>
  <c r="Q91" i="20"/>
  <c r="L92" i="20"/>
  <c r="M92" i="20" s="1"/>
  <c r="D93" i="20"/>
  <c r="N93" i="20" s="1"/>
  <c r="C64" i="19"/>
  <c r="D64" i="19" s="1"/>
  <c r="L93" i="20" l="1"/>
  <c r="M93" i="20" s="1"/>
  <c r="E92" i="20"/>
  <c r="D94" i="20"/>
  <c r="C65" i="19"/>
  <c r="D65" i="19" s="1"/>
  <c r="E93" i="20" s="1"/>
  <c r="T93" i="20" l="1"/>
  <c r="Q93" i="20"/>
  <c r="Q92" i="20"/>
  <c r="T92" i="20"/>
  <c r="N94" i="20"/>
  <c r="L94" i="20"/>
  <c r="M94" i="20" s="1"/>
  <c r="C66" i="19"/>
  <c r="D95" i="20"/>
  <c r="N95" i="20" l="1"/>
  <c r="D66" i="19"/>
  <c r="E94" i="20" s="1"/>
  <c r="L95" i="20"/>
  <c r="M95" i="20" s="1"/>
  <c r="D96" i="20"/>
  <c r="C67" i="19"/>
  <c r="Q94" i="20" l="1"/>
  <c r="T94" i="20"/>
  <c r="N96" i="20"/>
  <c r="D67" i="19"/>
  <c r="E95" i="20" s="1"/>
  <c r="L96" i="20"/>
  <c r="M96" i="20" s="1"/>
  <c r="C68" i="19"/>
  <c r="D68" i="19" s="1"/>
  <c r="E96" i="20" s="1"/>
  <c r="D97" i="20"/>
  <c r="T96" i="20" l="1"/>
  <c r="Q96" i="20"/>
  <c r="Q95" i="20"/>
  <c r="T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J476" i="14" s="1"/>
  <c r="F130" i="20"/>
  <c r="U130" i="20"/>
  <c r="C102" i="19"/>
  <c r="D102" i="19" s="1"/>
  <c r="J27" i="16" l="1"/>
  <c r="J35" i="16"/>
  <c r="J43" i="16"/>
  <c r="J51" i="16"/>
  <c r="J59" i="16"/>
  <c r="J67" i="16"/>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J30" i="16"/>
  <c r="J38" i="16"/>
  <c r="P38" i="16" s="1"/>
  <c r="J46" i="16"/>
  <c r="J54" i="16"/>
  <c r="J62" i="16"/>
  <c r="J70" i="16"/>
  <c r="J78" i="16"/>
  <c r="J86" i="16"/>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P294" i="16" s="1"/>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J113" i="16"/>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J128" i="16"/>
  <c r="P128" i="16" s="1"/>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J77" i="14"/>
  <c r="J85" i="14"/>
  <c r="J93" i="14"/>
  <c r="J101" i="14"/>
  <c r="P101" i="14" s="1"/>
  <c r="J109" i="14"/>
  <c r="J117" i="14"/>
  <c r="J125" i="14"/>
  <c r="J133" i="14"/>
  <c r="J141" i="14"/>
  <c r="J149" i="14"/>
  <c r="J157" i="14"/>
  <c r="J165" i="14"/>
  <c r="P165" i="14" s="1"/>
  <c r="J173" i="14"/>
  <c r="J181" i="14"/>
  <c r="J189" i="14"/>
  <c r="J197" i="14"/>
  <c r="J205" i="14"/>
  <c r="J213" i="14"/>
  <c r="J221" i="14"/>
  <c r="J229" i="14"/>
  <c r="P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J54" i="14"/>
  <c r="J62" i="14"/>
  <c r="P62" i="14" s="1"/>
  <c r="J70" i="14"/>
  <c r="J78" i="14"/>
  <c r="J86" i="14"/>
  <c r="J94" i="14"/>
  <c r="J102" i="14"/>
  <c r="J110" i="14"/>
  <c r="J118" i="14"/>
  <c r="J126" i="14"/>
  <c r="P126" i="14" s="1"/>
  <c r="J134" i="14"/>
  <c r="J142" i="14"/>
  <c r="J150" i="14"/>
  <c r="J158" i="14"/>
  <c r="J166" i="14"/>
  <c r="J174" i="14"/>
  <c r="J182" i="14"/>
  <c r="J190" i="14"/>
  <c r="P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J71" i="14"/>
  <c r="J79" i="14"/>
  <c r="P79" i="14" s="1"/>
  <c r="J87" i="14"/>
  <c r="J95" i="14"/>
  <c r="J103" i="14"/>
  <c r="J111" i="14"/>
  <c r="J119" i="14"/>
  <c r="J127" i="14"/>
  <c r="J135" i="14"/>
  <c r="J143" i="14"/>
  <c r="P143" i="14" s="1"/>
  <c r="J151" i="14"/>
  <c r="J159" i="14"/>
  <c r="J167" i="14"/>
  <c r="J175" i="14"/>
  <c r="J183" i="14"/>
  <c r="J191" i="14"/>
  <c r="J199" i="14"/>
  <c r="J207" i="14"/>
  <c r="P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J48" i="14"/>
  <c r="J56" i="14"/>
  <c r="J64" i="14"/>
  <c r="J72" i="14"/>
  <c r="J80" i="14"/>
  <c r="J88" i="14"/>
  <c r="J96" i="14"/>
  <c r="J104" i="14"/>
  <c r="P104" i="14" s="1"/>
  <c r="J112" i="14"/>
  <c r="J120" i="14"/>
  <c r="J128" i="14"/>
  <c r="J136" i="14"/>
  <c r="J144" i="14"/>
  <c r="J152" i="14"/>
  <c r="J160" i="14"/>
  <c r="J168" i="14"/>
  <c r="P168" i="14" s="1"/>
  <c r="J176" i="14"/>
  <c r="J184" i="14"/>
  <c r="J192" i="14"/>
  <c r="J200" i="14"/>
  <c r="J208" i="14"/>
  <c r="J216" i="14"/>
  <c r="J224" i="14"/>
  <c r="J232" i="14"/>
  <c r="P232" i="14" s="1"/>
  <c r="J240" i="14"/>
  <c r="J248" i="14"/>
  <c r="J256" i="14"/>
  <c r="J264" i="14"/>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J73" i="14"/>
  <c r="J81" i="14"/>
  <c r="J89" i="14"/>
  <c r="P89" i="14" s="1"/>
  <c r="J97" i="14"/>
  <c r="J105" i="14"/>
  <c r="J113" i="14"/>
  <c r="J121" i="14"/>
  <c r="J129" i="14"/>
  <c r="J137" i="14"/>
  <c r="J145" i="14"/>
  <c r="J153" i="14"/>
  <c r="P153" i="14" s="1"/>
  <c r="J161" i="14"/>
  <c r="J169" i="14"/>
  <c r="J177" i="14"/>
  <c r="J185" i="14"/>
  <c r="J193" i="14"/>
  <c r="J201" i="14"/>
  <c r="J209" i="14"/>
  <c r="J217" i="14"/>
  <c r="P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J50" i="14"/>
  <c r="J58" i="14"/>
  <c r="J66" i="14"/>
  <c r="J74" i="14"/>
  <c r="J82" i="14"/>
  <c r="J90" i="14"/>
  <c r="J98" i="14"/>
  <c r="J106" i="14"/>
  <c r="P106" i="14" s="1"/>
  <c r="J114" i="14"/>
  <c r="J122" i="14"/>
  <c r="J130" i="14"/>
  <c r="J138" i="14"/>
  <c r="J146" i="14"/>
  <c r="J154" i="14"/>
  <c r="J162" i="14"/>
  <c r="J170" i="14"/>
  <c r="P170" i="14" s="1"/>
  <c r="J178" i="14"/>
  <c r="J186" i="14"/>
  <c r="J194" i="14"/>
  <c r="J202" i="14"/>
  <c r="J210" i="14"/>
  <c r="J218" i="14"/>
  <c r="J226" i="14"/>
  <c r="J234" i="14"/>
  <c r="P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J59" i="14"/>
  <c r="J67" i="14"/>
  <c r="P67" i="14" s="1"/>
  <c r="J75" i="14"/>
  <c r="J83" i="14"/>
  <c r="J91" i="14"/>
  <c r="J99" i="14"/>
  <c r="J107" i="14"/>
  <c r="J115" i="14"/>
  <c r="J123" i="14"/>
  <c r="J131" i="14"/>
  <c r="P131" i="14" s="1"/>
  <c r="J139" i="14"/>
  <c r="J147" i="14"/>
  <c r="J155" i="14"/>
  <c r="J163" i="14"/>
  <c r="J171" i="14"/>
  <c r="J179" i="14"/>
  <c r="J187" i="14"/>
  <c r="J195" i="14"/>
  <c r="P195" i="14" s="1"/>
  <c r="J203" i="14"/>
  <c r="J211" i="14"/>
  <c r="J219" i="14"/>
  <c r="J227" i="14"/>
  <c r="J235" i="14"/>
  <c r="J243" i="14"/>
  <c r="J251" i="14"/>
  <c r="J259" i="14"/>
  <c r="P259" i="14" s="1"/>
  <c r="J267" i="14"/>
  <c r="J275" i="14"/>
  <c r="J283" i="14"/>
  <c r="J1602" i="16"/>
  <c r="J1959" i="16"/>
  <c r="J2132" i="16"/>
  <c r="J2301" i="16"/>
  <c r="J2384" i="16"/>
  <c r="P2384" i="16" s="1"/>
  <c r="J2448" i="16"/>
  <c r="J2512" i="16"/>
  <c r="J68" i="14"/>
  <c r="J132" i="14"/>
  <c r="J196" i="14"/>
  <c r="J250" i="14"/>
  <c r="J261" i="14"/>
  <c r="J271" i="14"/>
  <c r="P271" i="14" s="1"/>
  <c r="J282" i="14"/>
  <c r="J291" i="14"/>
  <c r="J299" i="14"/>
  <c r="J307" i="14"/>
  <c r="J315" i="14"/>
  <c r="J323" i="14"/>
  <c r="J331" i="14"/>
  <c r="J339" i="14"/>
  <c r="P339" i="14" s="1"/>
  <c r="J347" i="14"/>
  <c r="J355" i="14"/>
  <c r="J363" i="14"/>
  <c r="J371" i="14"/>
  <c r="J379" i="14"/>
  <c r="J387" i="14"/>
  <c r="J395" i="14"/>
  <c r="J403" i="14"/>
  <c r="P403" i="14" s="1"/>
  <c r="J411" i="14"/>
  <c r="J419" i="14"/>
  <c r="J427" i="14"/>
  <c r="J435" i="14"/>
  <c r="J443" i="14"/>
  <c r="J451" i="14"/>
  <c r="J459" i="14"/>
  <c r="J467" i="14"/>
  <c r="P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J140" i="14"/>
  <c r="J204" i="14"/>
  <c r="J252" i="14"/>
  <c r="J262" i="14"/>
  <c r="J273" i="14"/>
  <c r="J284" i="14"/>
  <c r="J292" i="14"/>
  <c r="J300" i="14"/>
  <c r="P300" i="14" s="1"/>
  <c r="J308" i="14"/>
  <c r="J316" i="14"/>
  <c r="J324" i="14"/>
  <c r="J332" i="14"/>
  <c r="J340" i="14"/>
  <c r="J348" i="14"/>
  <c r="J356" i="14"/>
  <c r="J364" i="14"/>
  <c r="P364" i="14" s="1"/>
  <c r="J372" i="14"/>
  <c r="J380" i="14"/>
  <c r="J388" i="14"/>
  <c r="J396" i="14"/>
  <c r="J404" i="14"/>
  <c r="J412" i="14"/>
  <c r="J420" i="14"/>
  <c r="J428" i="14"/>
  <c r="P428" i="14" s="1"/>
  <c r="J436" i="14"/>
  <c r="J444" i="14"/>
  <c r="J452" i="14"/>
  <c r="J460" i="14"/>
  <c r="J468"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J212" i="14"/>
  <c r="P212" i="14" s="1"/>
  <c r="J253" i="14"/>
  <c r="J263" i="14"/>
  <c r="J274" i="14"/>
  <c r="J285" i="14"/>
  <c r="J293" i="14"/>
  <c r="J301" i="14"/>
  <c r="J309" i="14"/>
  <c r="J317" i="14"/>
  <c r="P317" i="14" s="1"/>
  <c r="J325" i="14"/>
  <c r="J333" i="14"/>
  <c r="J341" i="14"/>
  <c r="J349" i="14"/>
  <c r="J357" i="14"/>
  <c r="J365" i="14"/>
  <c r="J373" i="14"/>
  <c r="J381" i="14"/>
  <c r="P381" i="14" s="1"/>
  <c r="J389" i="14"/>
  <c r="J397" i="14"/>
  <c r="J405" i="14"/>
  <c r="J413" i="14"/>
  <c r="J421" i="14"/>
  <c r="J429" i="14"/>
  <c r="J437" i="14"/>
  <c r="J445" i="14"/>
  <c r="P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J276" i="14"/>
  <c r="J286" i="14"/>
  <c r="J294" i="14"/>
  <c r="J302" i="14"/>
  <c r="J310" i="14"/>
  <c r="J318" i="14"/>
  <c r="J326" i="14"/>
  <c r="J334" i="14"/>
  <c r="P334" i="14" s="1"/>
  <c r="J342" i="14"/>
  <c r="J350" i="14"/>
  <c r="J358" i="14"/>
  <c r="J366" i="14"/>
  <c r="J374" i="14"/>
  <c r="J382" i="14"/>
  <c r="J390" i="14"/>
  <c r="J398" i="14"/>
  <c r="P398" i="14" s="1"/>
  <c r="J406" i="14"/>
  <c r="J414" i="14"/>
  <c r="J422" i="14"/>
  <c r="J430" i="14"/>
  <c r="J438" i="14"/>
  <c r="J446" i="14"/>
  <c r="J454" i="14"/>
  <c r="J462" i="14"/>
  <c r="P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J277" i="14"/>
  <c r="J287" i="14"/>
  <c r="P287" i="14" s="1"/>
  <c r="J295" i="14"/>
  <c r="J303" i="14"/>
  <c r="J311" i="14"/>
  <c r="J319" i="14"/>
  <c r="J327" i="14"/>
  <c r="J335" i="14"/>
  <c r="J343" i="14"/>
  <c r="J351" i="14"/>
  <c r="P351" i="14" s="1"/>
  <c r="J359" i="14"/>
  <c r="J367" i="14"/>
  <c r="J375" i="14"/>
  <c r="J383" i="14"/>
  <c r="J391" i="14"/>
  <c r="J399" i="14"/>
  <c r="J407" i="14"/>
  <c r="J415" i="14"/>
  <c r="P415" i="14" s="1"/>
  <c r="J423" i="14"/>
  <c r="J431" i="14"/>
  <c r="J439" i="14"/>
  <c r="J447" i="14"/>
  <c r="J455" i="14"/>
  <c r="J463" i="14"/>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J236" i="14"/>
  <c r="J257" i="14"/>
  <c r="J268" i="14"/>
  <c r="J278" i="14"/>
  <c r="J288" i="14"/>
  <c r="J296" i="14"/>
  <c r="J304" i="14"/>
  <c r="J312" i="14"/>
  <c r="P312" i="14" s="1"/>
  <c r="J320" i="14"/>
  <c r="J328" i="14"/>
  <c r="J336" i="14"/>
  <c r="J344" i="14"/>
  <c r="J352" i="14"/>
  <c r="J360" i="14"/>
  <c r="J368" i="14"/>
  <c r="J376" i="14"/>
  <c r="P376" i="14" s="1"/>
  <c r="J384" i="14"/>
  <c r="J392" i="14"/>
  <c r="J400" i="14"/>
  <c r="J408" i="14"/>
  <c r="J416" i="14"/>
  <c r="J424" i="14"/>
  <c r="J432" i="14"/>
  <c r="J440" i="14"/>
  <c r="P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J269" i="14"/>
  <c r="J279" i="14"/>
  <c r="J289" i="14"/>
  <c r="J297" i="14"/>
  <c r="J305" i="14"/>
  <c r="J313" i="14"/>
  <c r="J321" i="14"/>
  <c r="J329" i="14"/>
  <c r="P329" i="14" s="1"/>
  <c r="J337" i="14"/>
  <c r="J345" i="14"/>
  <c r="J353" i="14"/>
  <c r="J361" i="14"/>
  <c r="J369" i="14"/>
  <c r="J377" i="14"/>
  <c r="J385" i="14"/>
  <c r="J393" i="14"/>
  <c r="P393" i="14" s="1"/>
  <c r="J401" i="14"/>
  <c r="J409" i="14"/>
  <c r="J417" i="14"/>
  <c r="J425" i="14"/>
  <c r="J433" i="14"/>
  <c r="J441" i="14"/>
  <c r="J449" i="14"/>
  <c r="J457" i="14"/>
  <c r="P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J434" i="14"/>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J314" i="14"/>
  <c r="J378" i="14"/>
  <c r="J442" i="14"/>
  <c r="P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P211" i="14"/>
  <c r="P275" i="14"/>
  <c r="P68" i="14"/>
  <c r="P132" i="14"/>
  <c r="P196" i="14"/>
  <c r="P260" i="14"/>
  <c r="P324" i="14"/>
  <c r="P388" i="14"/>
  <c r="P516" i="14"/>
  <c r="Q516" i="14" s="1"/>
  <c r="P564" i="14"/>
  <c r="Q564" i="14" s="1"/>
  <c r="P580" i="14"/>
  <c r="Q580" i="14" s="1"/>
  <c r="P628" i="14"/>
  <c r="Q628" i="14" s="1"/>
  <c r="P644" i="14"/>
  <c r="Q644" i="14" s="1"/>
  <c r="P692" i="14"/>
  <c r="Q692" i="14" s="1"/>
  <c r="P29" i="14"/>
  <c r="P93" i="14"/>
  <c r="P157" i="14"/>
  <c r="P221" i="14"/>
  <c r="P349" i="14"/>
  <c r="P413" i="14"/>
  <c r="P477" i="14"/>
  <c r="Q477" i="14" s="1"/>
  <c r="P70" i="14"/>
  <c r="P134" i="14"/>
  <c r="P198" i="14"/>
  <c r="P254" i="14"/>
  <c r="P262" i="14"/>
  <c r="P326" i="14"/>
  <c r="P454" i="14"/>
  <c r="P582" i="14"/>
  <c r="Q582" i="14" s="1"/>
  <c r="P23" i="14"/>
  <c r="P87" i="14"/>
  <c r="P151" i="14"/>
  <c r="P215" i="14"/>
  <c r="P279" i="14"/>
  <c r="P343" i="14"/>
  <c r="P407" i="14"/>
  <c r="P471" i="14"/>
  <c r="P535" i="14"/>
  <c r="Q535" i="14" s="1"/>
  <c r="P599" i="14"/>
  <c r="Q599" i="14" s="1"/>
  <c r="P655" i="14"/>
  <c r="Q655" i="14" s="1"/>
  <c r="P663" i="14"/>
  <c r="Q663" i="14" s="1"/>
  <c r="P98" i="14"/>
  <c r="P272" i="14"/>
  <c r="P441" i="14"/>
  <c r="P626" i="14"/>
  <c r="Q626" i="14" s="1"/>
  <c r="P863" i="14"/>
  <c r="Q863" i="14" s="1"/>
  <c r="P927" i="14"/>
  <c r="Q927" i="14" s="1"/>
  <c r="P991" i="14"/>
  <c r="Q991" i="14" s="1"/>
  <c r="P1055" i="14"/>
  <c r="Q1055" i="14" s="1"/>
  <c r="P314" i="14"/>
  <c r="P337" i="14"/>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P192" i="14"/>
  <c r="P233" i="14"/>
  <c r="P361" i="14"/>
  <c r="P402" i="14"/>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P112" i="14"/>
  <c r="P240" i="14"/>
  <c r="P281" i="14"/>
  <c r="P409" i="14"/>
  <c r="P432" i="14"/>
  <c r="P450" i="14"/>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P282" i="14"/>
  <c r="P305" i="14"/>
  <c r="P456" i="14"/>
  <c r="P474" i="14"/>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P289" i="14"/>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P472" i="14"/>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P193" i="14"/>
  <c r="P248" i="14"/>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2" i="16"/>
  <c r="P23" i="16"/>
  <c r="P24" i="16"/>
  <c r="P25" i="16"/>
  <c r="P27" i="16"/>
  <c r="P28" i="16"/>
  <c r="P29" i="16"/>
  <c r="P30" i="16"/>
  <c r="P31" i="16"/>
  <c r="P32" i="16"/>
  <c r="P34" i="16"/>
  <c r="P35" i="16"/>
  <c r="P36" i="16"/>
  <c r="P37" i="16"/>
  <c r="P39" i="16"/>
  <c r="P40" i="16"/>
  <c r="P42" i="16"/>
  <c r="P43" i="16"/>
  <c r="P44" i="16"/>
  <c r="P45" i="16"/>
  <c r="P46" i="16"/>
  <c r="P47" i="16"/>
  <c r="P48" i="16"/>
  <c r="P50" i="16"/>
  <c r="P51" i="16"/>
  <c r="P52" i="16"/>
  <c r="P53" i="16"/>
  <c r="P54" i="16"/>
  <c r="P55" i="16"/>
  <c r="P56" i="16"/>
  <c r="P57" i="16"/>
  <c r="P59" i="16"/>
  <c r="P60" i="16"/>
  <c r="P61" i="16"/>
  <c r="P62" i="16"/>
  <c r="P64" i="16"/>
  <c r="P65" i="16"/>
  <c r="P66" i="16"/>
  <c r="P67" i="16"/>
  <c r="P68" i="16"/>
  <c r="P69" i="16"/>
  <c r="P70" i="16"/>
  <c r="P71" i="16"/>
  <c r="P72" i="16"/>
  <c r="P73" i="16"/>
  <c r="P74" i="16"/>
  <c r="P75" i="16"/>
  <c r="P76" i="16"/>
  <c r="P77" i="16"/>
  <c r="P78" i="16"/>
  <c r="P79" i="16"/>
  <c r="P80" i="16"/>
  <c r="P81" i="16"/>
  <c r="P82" i="16"/>
  <c r="P85" i="16"/>
  <c r="P86" i="16"/>
  <c r="P87" i="16"/>
  <c r="P88" i="16"/>
  <c r="P89" i="16"/>
  <c r="P91" i="16"/>
  <c r="P93"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P219" i="14"/>
  <c r="P223" i="14"/>
  <c r="P225" i="14"/>
  <c r="P226" i="14"/>
  <c r="P227" i="14"/>
  <c r="P228" i="14"/>
  <c r="P230" i="14"/>
  <c r="P231" i="14"/>
  <c r="P235" i="14"/>
  <c r="P236" i="14"/>
  <c r="P237" i="14"/>
  <c r="P238" i="14"/>
  <c r="P239" i="14"/>
  <c r="P241" i="14"/>
  <c r="P242" i="14"/>
  <c r="P243" i="14"/>
  <c r="P244" i="14"/>
  <c r="P245" i="14"/>
  <c r="P246" i="14"/>
  <c r="P247" i="14"/>
  <c r="P249" i="14"/>
  <c r="P250" i="14"/>
  <c r="P251" i="14"/>
  <c r="P252" i="14"/>
  <c r="P253" i="14"/>
  <c r="P255" i="14"/>
  <c r="P256" i="14"/>
  <c r="P257" i="14"/>
  <c r="P261" i="14"/>
  <c r="P263" i="14"/>
  <c r="P264" i="14"/>
  <c r="P266" i="14"/>
  <c r="P267" i="14"/>
  <c r="P268" i="14"/>
  <c r="P269" i="14"/>
  <c r="P273" i="14"/>
  <c r="P274" i="14"/>
  <c r="P276" i="14"/>
  <c r="P278" i="14"/>
  <c r="P280" i="14"/>
  <c r="P284" i="14"/>
  <c r="P286" i="14"/>
  <c r="P288" i="14"/>
  <c r="P290" i="14"/>
  <c r="P292" i="14"/>
  <c r="P294" i="14"/>
  <c r="P296" i="14"/>
  <c r="P297" i="14"/>
  <c r="P299" i="14"/>
  <c r="P301" i="14"/>
  <c r="P303" i="14"/>
  <c r="P307" i="14"/>
  <c r="P309" i="14"/>
  <c r="P311" i="14"/>
  <c r="P313" i="14"/>
  <c r="P315" i="14"/>
  <c r="P319" i="14"/>
  <c r="P321" i="14"/>
  <c r="P323" i="14"/>
  <c r="P325" i="14"/>
  <c r="P327" i="14"/>
  <c r="P328" i="14"/>
  <c r="P330" i="14"/>
  <c r="P332" i="14"/>
  <c r="P336" i="14"/>
  <c r="P340" i="14"/>
  <c r="P342" i="14"/>
  <c r="P344" i="14"/>
  <c r="P346" i="14"/>
  <c r="P347" i="14"/>
  <c r="P353" i="14"/>
  <c r="P355" i="14"/>
  <c r="P357" i="14"/>
  <c r="P359" i="14"/>
  <c r="P363" i="14"/>
  <c r="P365" i="14"/>
  <c r="P367" i="14"/>
  <c r="P369" i="14"/>
  <c r="P371" i="14"/>
  <c r="P373" i="14"/>
  <c r="P375" i="14"/>
  <c r="P377" i="14"/>
  <c r="P379" i="14"/>
  <c r="P382" i="14"/>
  <c r="P384" i="14"/>
  <c r="P386" i="14"/>
  <c r="P390" i="14"/>
  <c r="P392" i="14"/>
  <c r="P394" i="14"/>
  <c r="P396" i="14"/>
  <c r="P400" i="14"/>
  <c r="P404" i="14"/>
  <c r="P406" i="14"/>
  <c r="P411" i="14"/>
  <c r="P417" i="14"/>
  <c r="P419" i="14"/>
  <c r="P421" i="14"/>
  <c r="P423" i="14"/>
  <c r="P425" i="14"/>
  <c r="P427" i="14"/>
  <c r="P429" i="14"/>
  <c r="P431" i="14"/>
  <c r="P433" i="14"/>
  <c r="P436" i="14"/>
  <c r="P438" i="14"/>
  <c r="P444" i="14"/>
  <c r="P446" i="14"/>
  <c r="P448" i="14"/>
  <c r="P452" i="14"/>
  <c r="P458" i="14"/>
  <c r="P460" i="14"/>
  <c r="P464" i="14"/>
  <c r="P466" i="14"/>
  <c r="P468" i="14"/>
  <c r="P470" i="14"/>
  <c r="P476" i="14"/>
  <c r="Q476" i="14" s="1"/>
  <c r="P478" i="14"/>
  <c r="Q478" i="14" s="1"/>
  <c r="P480" i="14"/>
  <c r="Q480" i="14" s="1"/>
  <c r="P482" i="14"/>
  <c r="Q482" i="14" s="1"/>
  <c r="P484" i="14"/>
  <c r="Q484" i="14" s="1"/>
  <c r="P487" i="14"/>
  <c r="Q487" i="14" s="1"/>
  <c r="P494" i="14"/>
  <c r="Q494" i="14" s="1"/>
  <c r="P496" i="14"/>
  <c r="Q496" i="14" s="1"/>
  <c r="P498" i="14"/>
  <c r="Q498" i="14" s="1"/>
  <c r="P220" i="14"/>
  <c r="P222" i="14"/>
  <c r="P270" i="14"/>
  <c r="P277" i="14"/>
  <c r="P283" i="14"/>
  <c r="P285" i="14"/>
  <c r="P291" i="14"/>
  <c r="P293" i="14"/>
  <c r="P295" i="14"/>
  <c r="P298" i="14"/>
  <c r="P302" i="14"/>
  <c r="P304" i="14"/>
  <c r="P306" i="14"/>
  <c r="P308" i="14"/>
  <c r="P310" i="14"/>
  <c r="P316" i="14"/>
  <c r="P318" i="14"/>
  <c r="P320" i="14"/>
  <c r="P331" i="14"/>
  <c r="P333" i="14"/>
  <c r="P335" i="14"/>
  <c r="P341" i="14"/>
  <c r="P345" i="14"/>
  <c r="P348" i="14"/>
  <c r="P350" i="14"/>
  <c r="P352" i="14"/>
  <c r="P354" i="14"/>
  <c r="P356" i="14"/>
  <c r="P358" i="14"/>
  <c r="P360" i="14"/>
  <c r="P362" i="14"/>
  <c r="P366" i="14"/>
  <c r="P368" i="14"/>
  <c r="P372" i="14"/>
  <c r="P374" i="14"/>
  <c r="P378" i="14"/>
  <c r="P380" i="14"/>
  <c r="P383" i="14"/>
  <c r="P385" i="14"/>
  <c r="P387" i="14"/>
  <c r="P389" i="14"/>
  <c r="P391" i="14"/>
  <c r="P395" i="14"/>
  <c r="P397" i="14"/>
  <c r="P399" i="14"/>
  <c r="P401" i="14"/>
  <c r="P405" i="14"/>
  <c r="P408" i="14"/>
  <c r="P410" i="14"/>
  <c r="P412" i="14"/>
  <c r="P414" i="14"/>
  <c r="P416" i="14"/>
  <c r="P418" i="14"/>
  <c r="P420" i="14"/>
  <c r="P422" i="14"/>
  <c r="P424" i="14"/>
  <c r="P430" i="14"/>
  <c r="P435" i="14"/>
  <c r="P437" i="14"/>
  <c r="P439" i="14"/>
  <c r="P443" i="14"/>
  <c r="P447" i="14"/>
  <c r="P449" i="14"/>
  <c r="P451" i="14"/>
  <c r="P453" i="14"/>
  <c r="P455" i="14"/>
  <c r="P459" i="14"/>
  <c r="P461" i="14"/>
  <c r="P463" i="14"/>
  <c r="P465" i="14"/>
  <c r="P469" i="14"/>
  <c r="P473" i="14"/>
  <c r="P475" i="14"/>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56" i="14"/>
  <c r="P148" i="14"/>
  <c r="P140" i="14"/>
  <c r="P124" i="14"/>
  <c r="P320" i="16"/>
  <c r="P312" i="16"/>
  <c r="P304" i="16"/>
  <c r="P296" i="16"/>
  <c r="P288" i="16"/>
  <c r="P213" i="14"/>
  <c r="P209" i="14"/>
  <c r="P205" i="14"/>
  <c r="P203" i="14"/>
  <c r="P201" i="14"/>
  <c r="P199" i="14"/>
  <c r="P197" i="14"/>
  <c r="P191" i="14"/>
  <c r="P189" i="14"/>
  <c r="P187" i="14"/>
  <c r="P185" i="14"/>
  <c r="P183" i="14"/>
  <c r="P181" i="14"/>
  <c r="P179" i="14"/>
  <c r="P177" i="14"/>
  <c r="P175" i="14"/>
  <c r="P173" i="14"/>
  <c r="P171" i="14"/>
  <c r="P169" i="14"/>
  <c r="P167" i="14"/>
  <c r="P163" i="14"/>
  <c r="P161" i="14"/>
  <c r="P145" i="14"/>
  <c r="P129" i="14"/>
  <c r="P121" i="14"/>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P150" i="14"/>
  <c r="P142" i="14"/>
  <c r="P322" i="16"/>
  <c r="P314" i="16"/>
  <c r="P306" i="16"/>
  <c r="P298" i="16"/>
  <c r="P216" i="14"/>
  <c r="P214" i="14"/>
  <c r="P210" i="14"/>
  <c r="P208" i="14"/>
  <c r="P206" i="14"/>
  <c r="P204" i="14"/>
  <c r="P200" i="14"/>
  <c r="P194" i="14"/>
  <c r="P186" i="14"/>
  <c r="P184" i="14"/>
  <c r="P182" i="14"/>
  <c r="P180" i="14"/>
  <c r="P176" i="14"/>
  <c r="P174" i="14"/>
  <c r="P166" i="14"/>
  <c r="P164" i="14"/>
  <c r="P162" i="14"/>
  <c r="P149" i="14"/>
  <c r="P141" i="14"/>
  <c r="P133" i="14"/>
  <c r="P125" i="14"/>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P128" i="14"/>
  <c r="P316" i="16"/>
  <c r="P287" i="16"/>
  <c r="P138" i="14"/>
  <c r="P135" i="14"/>
  <c r="P122" i="14"/>
  <c r="P310" i="16"/>
  <c r="P307" i="16"/>
  <c r="P291" i="16"/>
  <c r="P160" i="14"/>
  <c r="P303" i="16"/>
  <c r="P300" i="16"/>
  <c r="P290" i="16"/>
  <c r="P159" i="14"/>
  <c r="P146" i="14"/>
  <c r="P130" i="14"/>
  <c r="P127" i="14"/>
  <c r="P318" i="16"/>
  <c r="P315" i="16"/>
  <c r="P302" i="16"/>
  <c r="P299" i="16"/>
  <c r="P155" i="14"/>
  <c r="P139" i="14"/>
  <c r="P136" i="14"/>
  <c r="P123" i="14"/>
  <c r="P120" i="14"/>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219" i="16"/>
  <c r="P205" i="16"/>
  <c r="P201" i="16"/>
  <c r="P197" i="16"/>
  <c r="P193" i="16"/>
  <c r="P189" i="16"/>
  <c r="P185" i="16"/>
  <c r="P177" i="16"/>
  <c r="P173" i="16"/>
  <c r="P165" i="16"/>
  <c r="P161" i="16"/>
  <c r="P157" i="16"/>
  <c r="P153" i="16"/>
  <c r="P137" i="16"/>
  <c r="P133" i="16"/>
  <c r="P129" i="16"/>
  <c r="P118" i="14"/>
  <c r="P116" i="14"/>
  <c r="P110" i="14"/>
  <c r="P108" i="14"/>
  <c r="P102" i="14"/>
  <c r="P100" i="14"/>
  <c r="P96" i="14"/>
  <c r="P94" i="14"/>
  <c r="P92" i="14"/>
  <c r="P90" i="14"/>
  <c r="P88" i="14"/>
  <c r="P86" i="14"/>
  <c r="P84" i="14"/>
  <c r="P82" i="14"/>
  <c r="P80" i="14"/>
  <c r="P78" i="14"/>
  <c r="P74" i="14"/>
  <c r="P72" i="14"/>
  <c r="P58" i="14"/>
  <c r="P56" i="14"/>
  <c r="P54" i="14"/>
  <c r="P52" i="14"/>
  <c r="P50" i="14"/>
  <c r="P48" i="14"/>
  <c r="P46" i="14"/>
  <c r="P44" i="14"/>
  <c r="P38" i="14"/>
  <c r="P36" i="14"/>
  <c r="P34" i="14"/>
  <c r="P32" i="14"/>
  <c r="P30" i="14"/>
  <c r="P28" i="14"/>
  <c r="P26" i="14"/>
  <c r="P24" i="14"/>
  <c r="P223" i="16"/>
  <c r="P215" i="16"/>
  <c r="P207" i="16"/>
  <c r="P203" i="16"/>
  <c r="P199" i="16"/>
  <c r="P195" i="16"/>
  <c r="P187" i="16"/>
  <c r="P183" i="16"/>
  <c r="P179" i="16"/>
  <c r="P175" i="16"/>
  <c r="P171" i="16"/>
  <c r="P167" i="16"/>
  <c r="P163" i="16"/>
  <c r="P159" i="16"/>
  <c r="P155" i="16"/>
  <c r="P151" i="16"/>
  <c r="P143" i="16"/>
  <c r="P139" i="16"/>
  <c r="P135" i="16"/>
  <c r="P131" i="16"/>
  <c r="P119" i="14"/>
  <c r="P117" i="14"/>
  <c r="P115" i="14"/>
  <c r="P113" i="14"/>
  <c r="P111" i="14"/>
  <c r="P109" i="14"/>
  <c r="P107" i="14"/>
  <c r="P105" i="14"/>
  <c r="P103" i="14"/>
  <c r="P99" i="14"/>
  <c r="P95" i="14"/>
  <c r="P91" i="14"/>
  <c r="P85" i="14"/>
  <c r="P81" i="14"/>
  <c r="P77" i="14"/>
  <c r="P75" i="14"/>
  <c r="P71" i="14"/>
  <c r="P69" i="14"/>
  <c r="P65" i="14"/>
  <c r="P63" i="14"/>
  <c r="P61" i="14"/>
  <c r="P59" i="14"/>
  <c r="P57" i="14"/>
  <c r="P55" i="14"/>
  <c r="P51" i="14"/>
  <c r="P47" i="14"/>
  <c r="P43" i="14"/>
  <c r="P39" i="14"/>
  <c r="P35"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P446" i="16"/>
  <c r="P1221" i="14"/>
  <c r="Q1221" i="14" s="1"/>
  <c r="N70" i="20"/>
  <c r="N71" i="20"/>
  <c r="N63" i="20"/>
  <c r="N74" i="20"/>
  <c r="P537" i="16"/>
  <c r="U41" i="20"/>
  <c r="R41" i="20"/>
  <c r="P447" i="16" l="1"/>
  <c r="P1222" i="14"/>
  <c r="Q1222" i="14" s="1"/>
  <c r="P538" i="16"/>
  <c r="R42" i="20"/>
  <c r="U42" i="20"/>
  <c r="P448" i="16" l="1"/>
  <c r="P1223" i="14"/>
  <c r="Q1223" i="14" s="1"/>
  <c r="P539" i="16"/>
  <c r="R43" i="20"/>
  <c r="U43" i="20"/>
  <c r="P449" i="16" l="1"/>
  <c r="P1224" i="14"/>
  <c r="Q1224" i="14" s="1"/>
  <c r="P540" i="16"/>
  <c r="R44" i="20"/>
  <c r="U44" i="20"/>
  <c r="P450" i="16" l="1"/>
  <c r="P1225" i="14"/>
  <c r="Q1225" i="14" s="1"/>
  <c r="P541" i="16"/>
  <c r="U45" i="20"/>
  <c r="R45" i="20"/>
  <c r="P451" i="16" l="1"/>
  <c r="P1226" i="14"/>
  <c r="Q1226" i="14" s="1"/>
  <c r="P542" i="16"/>
  <c r="R46" i="20"/>
  <c r="U46" i="20"/>
  <c r="P452" i="16" l="1"/>
  <c r="P1227" i="14"/>
  <c r="Q1227" i="14" s="1"/>
  <c r="P543" i="16"/>
  <c r="R47" i="20"/>
  <c r="U47" i="20"/>
  <c r="P453" i="16" l="1"/>
  <c r="P1228" i="14"/>
  <c r="Q1228" i="14" s="1"/>
  <c r="P544" i="16"/>
  <c r="R48" i="20"/>
  <c r="U48" i="20"/>
  <c r="P454" i="16" l="1"/>
  <c r="P1229" i="14"/>
  <c r="Q1229" i="14" s="1"/>
  <c r="P545" i="16"/>
  <c r="U49" i="20"/>
  <c r="R49" i="20"/>
  <c r="P455" i="16" l="1"/>
  <c r="P1230" i="14"/>
  <c r="Q1230" i="14" s="1"/>
  <c r="P546" i="16"/>
  <c r="R50" i="20"/>
  <c r="U50" i="20"/>
  <c r="P456" i="16" l="1"/>
  <c r="P1231" i="14"/>
  <c r="Q1231" i="14" s="1"/>
  <c r="P547" i="16"/>
  <c r="R51" i="20"/>
  <c r="U51" i="20"/>
  <c r="P457" i="16" l="1"/>
  <c r="P1232" i="14"/>
  <c r="Q1232" i="14" s="1"/>
  <c r="P548" i="16"/>
  <c r="R52" i="20"/>
  <c r="U52" i="20"/>
  <c r="P458" i="16" l="1"/>
  <c r="P1233" i="14"/>
  <c r="Q1233" i="14" s="1"/>
  <c r="P549" i="16"/>
  <c r="U53" i="20"/>
  <c r="R53" i="20"/>
  <c r="P459" i="16" l="1"/>
  <c r="P1234" i="14"/>
  <c r="Q1234" i="14" s="1"/>
  <c r="P550" i="16"/>
  <c r="R54" i="20"/>
  <c r="U54" i="20"/>
  <c r="P460" i="16" l="1"/>
  <c r="P1235" i="14"/>
  <c r="Q1235" i="14" s="1"/>
  <c r="P551" i="16"/>
  <c r="U55" i="20"/>
  <c r="R55" i="20"/>
  <c r="P461" i="16" l="1"/>
  <c r="P1236" i="14"/>
  <c r="Q1236" i="14" s="1"/>
  <c r="P552" i="16"/>
  <c r="R56" i="20"/>
  <c r="U56" i="20"/>
  <c r="P462" i="16" l="1"/>
  <c r="P1237" i="14"/>
  <c r="Q1237" i="14" s="1"/>
  <c r="P553" i="16"/>
  <c r="U57" i="20"/>
  <c r="R57" i="20"/>
  <c r="P463" i="16" l="1"/>
  <c r="P1238" i="14"/>
  <c r="Q1238" i="14" s="1"/>
  <c r="P554" i="16"/>
  <c r="R58" i="20"/>
  <c r="U58" i="20"/>
  <c r="P464" i="16" l="1"/>
  <c r="P1239" i="14"/>
  <c r="Q1239" i="14" s="1"/>
  <c r="P555" i="16"/>
  <c r="R59" i="20"/>
  <c r="U59" i="20"/>
  <c r="P465" i="16" l="1"/>
  <c r="P1240" i="14"/>
  <c r="Q1240" i="14" s="1"/>
  <c r="P556" i="16"/>
  <c r="R60" i="20"/>
  <c r="U60" i="20"/>
  <c r="U61" i="20"/>
  <c r="U62" i="20"/>
  <c r="R61" i="20"/>
  <c r="R62" i="20"/>
  <c r="P466" i="16" l="1"/>
  <c r="P1241" i="14"/>
  <c r="Q1241" i="14" s="1"/>
  <c r="P557" i="16"/>
  <c r="U97" i="20"/>
  <c r="R97" i="20"/>
  <c r="G97" i="20"/>
  <c r="F97" i="20"/>
  <c r="P467" i="16" l="1"/>
  <c r="P1242" i="14"/>
  <c r="Q1242" i="14" s="1"/>
  <c r="P558" i="16"/>
  <c r="R98" i="20"/>
  <c r="U98" i="20"/>
  <c r="F98" i="20"/>
  <c r="G98" i="20"/>
  <c r="P468" i="16" l="1"/>
  <c r="P1243" i="14"/>
  <c r="Q1243" i="14" s="1"/>
  <c r="P559" i="16"/>
  <c r="H63" i="20"/>
  <c r="R63" i="20"/>
  <c r="U63" i="20"/>
  <c r="P469" i="16" l="1"/>
  <c r="P1244" i="14"/>
  <c r="Q1244" i="14" s="1"/>
  <c r="P560" i="16"/>
  <c r="H64" i="20"/>
  <c r="R64" i="20"/>
  <c r="U64" i="20"/>
  <c r="O62" i="20"/>
  <c r="P470" i="16" l="1"/>
  <c r="P1245" i="14"/>
  <c r="Q1245" i="14" s="1"/>
  <c r="P561" i="16"/>
  <c r="H65" i="20"/>
  <c r="R65" i="20"/>
  <c r="U65" i="20"/>
  <c r="O61" i="20"/>
  <c r="P471" i="16" l="1"/>
  <c r="P1246" i="14"/>
  <c r="Q1246" i="14" s="1"/>
  <c r="P562" i="16"/>
  <c r="H66" i="20"/>
  <c r="R66" i="20"/>
  <c r="U66" i="20"/>
  <c r="C67" i="20"/>
  <c r="C66" i="20" s="1"/>
  <c r="C65" i="20" l="1"/>
  <c r="Q609" i="16" a="1"/>
  <c r="Q609" i="16" s="1"/>
  <c r="Q607" i="16" a="1"/>
  <c r="Q607" i="16" s="1"/>
  <c r="Q608" i="16" a="1"/>
  <c r="Q608" i="16" s="1"/>
  <c r="Q610" i="16" a="1"/>
  <c r="Q610" i="16" s="1"/>
  <c r="P472" i="16"/>
  <c r="P1247" i="14"/>
  <c r="Q1247" i="14" s="1"/>
  <c r="P563" i="16"/>
  <c r="G66" i="20"/>
  <c r="F66" i="20"/>
  <c r="C64" i="20"/>
  <c r="O65" i="20"/>
  <c r="G65" i="20"/>
  <c r="F65" i="20"/>
  <c r="O66" i="20"/>
  <c r="H67" i="20"/>
  <c r="G67" i="20"/>
  <c r="U67" i="20"/>
  <c r="R67" i="20"/>
  <c r="C68" i="20"/>
  <c r="F67" i="20"/>
  <c r="O67" i="20"/>
  <c r="Q599" i="16" l="1" a="1"/>
  <c r="Q599" i="16" s="1"/>
  <c r="Q603" i="16" a="1"/>
  <c r="Q603" i="16" s="1"/>
  <c r="Q600" i="16" a="1"/>
  <c r="Q600" i="16" s="1"/>
  <c r="Q598" i="16" a="1"/>
  <c r="Q598" i="16" s="1"/>
  <c r="Q602" i="16" a="1"/>
  <c r="Q602" i="16" s="1"/>
  <c r="Q601" i="16" a="1"/>
  <c r="Q601" i="16" s="1"/>
  <c r="Q604" i="16" a="1"/>
  <c r="Q604" i="16" s="1"/>
  <c r="Q605" i="16" a="1"/>
  <c r="Q605" i="16" s="1"/>
  <c r="Q606" i="16" a="1"/>
  <c r="Q606" i="16" s="1"/>
  <c r="P473" i="16"/>
  <c r="P1248" i="14"/>
  <c r="Q1248" i="14" s="1"/>
  <c r="P564" i="16"/>
  <c r="C63" i="20"/>
  <c r="Q563" i="16" s="1" a="1"/>
  <c r="Q563" i="16" s="1"/>
  <c r="O64" i="20"/>
  <c r="G64" i="20"/>
  <c r="F64" i="20"/>
  <c r="H68" i="20"/>
  <c r="O68" i="20"/>
  <c r="U68" i="20"/>
  <c r="F68" i="20"/>
  <c r="G68" i="20"/>
  <c r="R68" i="20"/>
  <c r="C69" i="20"/>
  <c r="Q536" i="16" l="1" a="1"/>
  <c r="Q536" i="16" s="1"/>
  <c r="Q535" i="16" a="1"/>
  <c r="Q535" i="16" s="1"/>
  <c r="Q534" i="16" a="1"/>
  <c r="Q534" i="16" s="1"/>
  <c r="Q537" i="16" a="1"/>
  <c r="Q537" i="16" s="1"/>
  <c r="Q538" i="16" a="1"/>
  <c r="Q538" i="16" s="1"/>
  <c r="Q539" i="16" a="1"/>
  <c r="Q539" i="16" s="1"/>
  <c r="Q540" i="16" a="1"/>
  <c r="Q540" i="16" s="1"/>
  <c r="Q541" i="16" a="1"/>
  <c r="Q541" i="16" s="1"/>
  <c r="Q542" i="16" a="1"/>
  <c r="Q542" i="16" s="1"/>
  <c r="Q543" i="16" a="1"/>
  <c r="Q543" i="16" s="1"/>
  <c r="Q544" i="16" a="1"/>
  <c r="Q544" i="16" s="1"/>
  <c r="Q545" i="16" a="1"/>
  <c r="Q545" i="16" s="1"/>
  <c r="Q546" i="16" a="1"/>
  <c r="Q546" i="16" s="1"/>
  <c r="Q547" i="16" a="1"/>
  <c r="Q547" i="16" s="1"/>
  <c r="Q548" i="16" a="1"/>
  <c r="Q548" i="16" s="1"/>
  <c r="Q549" i="16" a="1"/>
  <c r="Q549" i="16" s="1"/>
  <c r="Q550" i="16" a="1"/>
  <c r="Q550" i="16" s="1"/>
  <c r="Q551" i="16" a="1"/>
  <c r="Q551" i="16" s="1"/>
  <c r="Q552" i="16" a="1"/>
  <c r="Q552" i="16" s="1"/>
  <c r="Q553" i="16" a="1"/>
  <c r="Q553" i="16" s="1"/>
  <c r="Q554" i="16" a="1"/>
  <c r="Q554" i="16" s="1"/>
  <c r="Q555" i="16" a="1"/>
  <c r="Q555" i="16" s="1"/>
  <c r="Q556" i="16" a="1"/>
  <c r="Q556" i="16" s="1"/>
  <c r="Q557" i="16" a="1"/>
  <c r="Q557" i="16" s="1"/>
  <c r="Q558" i="16" a="1"/>
  <c r="Q558" i="16" s="1"/>
  <c r="Q559" i="16" a="1"/>
  <c r="Q559" i="16" s="1"/>
  <c r="Q560" i="16" a="1"/>
  <c r="Q560" i="16" s="1"/>
  <c r="Q561" i="16" a="1"/>
  <c r="Q561" i="16" s="1"/>
  <c r="Q562" i="16" a="1"/>
  <c r="Q562" i="16" s="1"/>
  <c r="Q564" i="16" a="1"/>
  <c r="Q564" i="16" s="1"/>
  <c r="P474" i="16"/>
  <c r="P1249" i="14"/>
  <c r="Q1249" i="14" s="1"/>
  <c r="P565" i="16"/>
  <c r="F63" i="20"/>
  <c r="C62" i="20"/>
  <c r="O63" i="20"/>
  <c r="G63" i="20"/>
  <c r="H69" i="20"/>
  <c r="R69" i="20"/>
  <c r="C70" i="20"/>
  <c r="O69" i="20"/>
  <c r="U69" i="20"/>
  <c r="F69" i="20"/>
  <c r="G69" i="20"/>
  <c r="Q530" i="16" l="1" a="1"/>
  <c r="Q530" i="16" s="1"/>
  <c r="Q529" i="16" a="1"/>
  <c r="Q529" i="16" s="1"/>
  <c r="Q531" i="16" a="1"/>
  <c r="Q531" i="16" s="1"/>
  <c r="Q532" i="16" a="1"/>
  <c r="Q532" i="16" s="1"/>
  <c r="Q533" i="16" a="1"/>
  <c r="Q533" i="16" s="1"/>
  <c r="Q565" i="16" a="1"/>
  <c r="Q565" i="16" s="1"/>
  <c r="P475" i="16"/>
  <c r="P1250" i="14"/>
  <c r="Q1250" i="14" s="1"/>
  <c r="P566" i="16"/>
  <c r="G62" i="20"/>
  <c r="F62" i="20"/>
  <c r="C61" i="20"/>
  <c r="H70" i="20"/>
  <c r="C71" i="20"/>
  <c r="Q22" i="17" s="1" a="1"/>
  <c r="Q22" i="17" s="1"/>
  <c r="Q29" i="17" s="1"/>
  <c r="U70" i="20"/>
  <c r="G70" i="20"/>
  <c r="R70" i="20"/>
  <c r="O70" i="20"/>
  <c r="F70" i="20"/>
  <c r="Q513" i="16" l="1" a="1"/>
  <c r="Q513" i="16" s="1"/>
  <c r="Q514" i="16" a="1"/>
  <c r="Q514" i="16" s="1"/>
  <c r="Q521" i="16" a="1"/>
  <c r="Q521" i="16" s="1"/>
  <c r="Q520" i="16" a="1"/>
  <c r="Q520" i="16" s="1"/>
  <c r="Q519" i="16" a="1"/>
  <c r="Q519" i="16" s="1"/>
  <c r="Q526" i="16" a="1"/>
  <c r="Q526" i="16" s="1"/>
  <c r="Q525" i="16" a="1"/>
  <c r="Q525" i="16" s="1"/>
  <c r="Q528" i="16" a="1"/>
  <c r="Q528" i="16" s="1"/>
  <c r="Q517" i="16" a="1"/>
  <c r="Q517" i="16" s="1"/>
  <c r="Q518" i="16" a="1"/>
  <c r="Q518" i="16" s="1"/>
  <c r="Q523" i="16" a="1"/>
  <c r="Q523" i="16" s="1"/>
  <c r="Q512" i="16" a="1"/>
  <c r="Q512" i="16" s="1"/>
  <c r="Q524" i="16" a="1"/>
  <c r="Q524" i="16" s="1"/>
  <c r="Q522" i="16" a="1"/>
  <c r="Q522" i="16" s="1"/>
  <c r="Q527" i="16" a="1"/>
  <c r="Q527" i="16" s="1"/>
  <c r="Q515" i="16" a="1"/>
  <c r="Q515" i="16" s="1"/>
  <c r="Q516" i="16" a="1"/>
  <c r="Q516" i="16" s="1"/>
  <c r="Q566" i="16" a="1"/>
  <c r="Q566" i="16" s="1"/>
  <c r="P476" i="16"/>
  <c r="P1251" i="14"/>
  <c r="Q1251" i="14" s="1"/>
  <c r="P567" i="16"/>
  <c r="F61" i="20"/>
  <c r="C60" i="20"/>
  <c r="G61" i="20"/>
  <c r="H71" i="20"/>
  <c r="R71" i="20"/>
  <c r="F71" i="20"/>
  <c r="C72" i="20"/>
  <c r="U71" i="20"/>
  <c r="G71" i="20"/>
  <c r="O71" i="20"/>
  <c r="Q506" i="16" l="1" a="1"/>
  <c r="Q506" i="16" s="1"/>
  <c r="Q505" i="16" a="1"/>
  <c r="Q505" i="16" s="1"/>
  <c r="Q504" i="16" a="1"/>
  <c r="Q504" i="16" s="1"/>
  <c r="Q508" i="16" a="1"/>
  <c r="Q508" i="16" s="1"/>
  <c r="Q507" i="16" a="1"/>
  <c r="Q507" i="16" s="1"/>
  <c r="Q511" i="16" a="1"/>
  <c r="Q511" i="16" s="1"/>
  <c r="Q503" i="16" a="1"/>
  <c r="Q503" i="16" s="1"/>
  <c r="Q510" i="16" a="1"/>
  <c r="Q510" i="16" s="1"/>
  <c r="Q509" i="16" a="1"/>
  <c r="Q509" i="16" s="1"/>
  <c r="Q502" i="16" a="1"/>
  <c r="Q502" i="16" s="1"/>
  <c r="Q501" i="16" a="1"/>
  <c r="Q501" i="16" s="1"/>
  <c r="Q476" i="16" a="1"/>
  <c r="Q476" i="16" s="1"/>
  <c r="Q567" i="16" a="1"/>
  <c r="Q567" i="16" s="1"/>
  <c r="P477" i="16"/>
  <c r="P1252" i="14"/>
  <c r="Q1252" i="14" s="1"/>
  <c r="P568" i="16"/>
  <c r="F60" i="20"/>
  <c r="C59" i="20"/>
  <c r="G60" i="20"/>
  <c r="H72" i="20"/>
  <c r="O72" i="20"/>
  <c r="U72" i="20"/>
  <c r="R72" i="20"/>
  <c r="G72" i="20"/>
  <c r="F72" i="20"/>
  <c r="C73" i="20"/>
  <c r="Q455" i="16" l="1"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Q465" i="16" a="1"/>
  <c r="Q465" i="16" s="1"/>
  <c r="Q466" i="16" a="1"/>
  <c r="Q466" i="16" s="1"/>
  <c r="Q467" i="16" a="1"/>
  <c r="Q467" i="16" s="1"/>
  <c r="Q468" i="16" a="1"/>
  <c r="Q468" i="16" s="1"/>
  <c r="Q469" i="16" a="1"/>
  <c r="Q469" i="16" s="1"/>
  <c r="Q470" i="16" a="1"/>
  <c r="Q470" i="16" s="1"/>
  <c r="Q471" i="16" a="1"/>
  <c r="Q471" i="16" s="1"/>
  <c r="Q472" i="16" a="1"/>
  <c r="Q472" i="16" s="1"/>
  <c r="Q473" i="16" a="1"/>
  <c r="Q473" i="16" s="1"/>
  <c r="Q474" i="16" a="1"/>
  <c r="Q474" i="16" s="1"/>
  <c r="Q475" i="16" a="1"/>
  <c r="Q475" i="16" s="1"/>
  <c r="Q568" i="16" a="1"/>
  <c r="Q568" i="16" s="1"/>
  <c r="Q477" i="16" a="1"/>
  <c r="Q477" i="16" s="1"/>
  <c r="P478" i="16"/>
  <c r="P1253" i="14"/>
  <c r="Q1253" i="14" s="1"/>
  <c r="P569" i="16"/>
  <c r="G59" i="20"/>
  <c r="F59" i="20"/>
  <c r="C58" i="20"/>
  <c r="H73" i="20"/>
  <c r="G73" i="20"/>
  <c r="F73" i="20"/>
  <c r="O73" i="20"/>
  <c r="C74" i="20"/>
  <c r="U73" i="20"/>
  <c r="R73" i="20"/>
  <c r="Q447" i="16" l="1" a="1"/>
  <c r="Q447" i="16" s="1"/>
  <c r="Q448" i="16" a="1"/>
  <c r="Q448" i="16" s="1"/>
  <c r="Q449" i="16" a="1"/>
  <c r="Q449" i="16" s="1"/>
  <c r="Q450" i="16" a="1"/>
  <c r="Q450" i="16" s="1"/>
  <c r="Q451" i="16" a="1"/>
  <c r="Q451" i="16" s="1"/>
  <c r="Q452" i="16" a="1"/>
  <c r="Q452" i="16" s="1"/>
  <c r="Q453" i="16" a="1"/>
  <c r="Q453" i="16" s="1"/>
  <c r="Q454" i="16" a="1"/>
  <c r="Q454" i="16" s="1"/>
  <c r="Q478" i="16" a="1"/>
  <c r="Q478" i="16" s="1"/>
  <c r="Q569" i="16" a="1"/>
  <c r="Q569" i="16" s="1"/>
  <c r="P479" i="16"/>
  <c r="P1254" i="14"/>
  <c r="Q1254" i="14" s="1"/>
  <c r="P570" i="16"/>
  <c r="F58" i="20"/>
  <c r="C57" i="20"/>
  <c r="G58" i="20"/>
  <c r="H74" i="20"/>
  <c r="F74" i="20"/>
  <c r="C75" i="20"/>
  <c r="G74" i="20"/>
  <c r="O74" i="20"/>
  <c r="U74" i="20"/>
  <c r="R74" i="20"/>
  <c r="Q442" i="16" l="1" a="1"/>
  <c r="Q442" i="16" s="1"/>
  <c r="Q439" i="16" a="1"/>
  <c r="Q439" i="16" s="1"/>
  <c r="Q440" i="16" a="1"/>
  <c r="Q440" i="16" s="1"/>
  <c r="Q443" i="16" a="1"/>
  <c r="Q443" i="16" s="1"/>
  <c r="Q445" i="16" a="1"/>
  <c r="Q445" i="16" s="1"/>
  <c r="Q444" i="16" a="1"/>
  <c r="Q444" i="16" s="1"/>
  <c r="Q441" i="16" a="1"/>
  <c r="Q441" i="16" s="1"/>
  <c r="Q446" i="16" a="1"/>
  <c r="Q446" i="16" s="1"/>
  <c r="Q479" i="16" a="1"/>
  <c r="Q479" i="16" s="1"/>
  <c r="Q570" i="16" a="1"/>
  <c r="Q570" i="16" s="1"/>
  <c r="P480" i="16"/>
  <c r="P1255" i="14"/>
  <c r="Q1255" i="14" s="1"/>
  <c r="P571" i="16"/>
  <c r="G57" i="20"/>
  <c r="F57" i="20"/>
  <c r="C56" i="20"/>
  <c r="H75" i="20"/>
  <c r="R75" i="20"/>
  <c r="O75" i="20"/>
  <c r="C76" i="20"/>
  <c r="F75" i="20"/>
  <c r="G75" i="20"/>
  <c r="U75" i="20"/>
  <c r="Q410" i="16" l="1" a="1"/>
  <c r="Q410" i="16" s="1"/>
  <c r="Q423" i="16" a="1"/>
  <c r="Q423" i="16" s="1"/>
  <c r="Q413" i="16" a="1"/>
  <c r="Q413" i="16" s="1"/>
  <c r="Q433" i="16" a="1"/>
  <c r="Q433" i="16" s="1"/>
  <c r="Q418" i="16" a="1"/>
  <c r="Q418" i="16" s="1"/>
  <c r="Q437" i="16" a="1"/>
  <c r="Q437" i="16" s="1"/>
  <c r="Q409" i="16" a="1"/>
  <c r="Q409" i="16" s="1"/>
  <c r="Q414" i="16" a="1"/>
  <c r="Q414" i="16" s="1"/>
  <c r="Q427" i="16" a="1"/>
  <c r="Q427" i="16" s="1"/>
  <c r="Q428" i="16" a="1"/>
  <c r="Q428" i="16" s="1"/>
  <c r="Q417" i="16" a="1"/>
  <c r="Q417" i="16" s="1"/>
  <c r="Q425" i="16" a="1"/>
  <c r="Q425" i="16" s="1"/>
  <c r="Q436" i="16" a="1"/>
  <c r="Q436" i="16" s="1"/>
  <c r="Q421" i="16" a="1"/>
  <c r="Q421" i="16" s="1"/>
  <c r="Q420" i="16" a="1"/>
  <c r="Q420" i="16" s="1"/>
  <c r="Q411" i="16" a="1"/>
  <c r="Q411" i="16" s="1"/>
  <c r="Q422" i="16" a="1"/>
  <c r="Q422" i="16" s="1"/>
  <c r="Q434" i="16" a="1"/>
  <c r="Q434" i="16" s="1"/>
  <c r="Q438" i="16" a="1"/>
  <c r="Q438" i="16" s="1"/>
  <c r="Q412" i="16" a="1"/>
  <c r="Q412" i="16" s="1"/>
  <c r="Q416" i="16" a="1"/>
  <c r="Q416" i="16" s="1"/>
  <c r="Q415" i="16" a="1"/>
  <c r="Q415" i="16" s="1"/>
  <c r="Q431" i="16" a="1"/>
  <c r="Q431" i="16" s="1"/>
  <c r="Q408" i="16" a="1"/>
  <c r="Q408" i="16" s="1"/>
  <c r="Q432" i="16" a="1"/>
  <c r="Q432" i="16" s="1"/>
  <c r="Q426" i="16" a="1"/>
  <c r="Q426" i="16" s="1"/>
  <c r="Q430" i="16" a="1"/>
  <c r="Q430" i="16" s="1"/>
  <c r="Q429" i="16" a="1"/>
  <c r="Q429" i="16" s="1"/>
  <c r="Q435" i="16" a="1"/>
  <c r="Q435" i="16" s="1"/>
  <c r="Q424" i="16" a="1"/>
  <c r="Q424" i="16" s="1"/>
  <c r="Q419" i="16" a="1"/>
  <c r="Q419" i="16" s="1"/>
  <c r="Q480" i="16" a="1"/>
  <c r="Q480" i="16" s="1"/>
  <c r="Q571" i="16" a="1"/>
  <c r="Q571" i="16" s="1"/>
  <c r="P481" i="16"/>
  <c r="P1256" i="14"/>
  <c r="Q1256" i="14" s="1"/>
  <c r="P572" i="16"/>
  <c r="C55" i="20"/>
  <c r="F56" i="20"/>
  <c r="G56" i="20"/>
  <c r="H76" i="20"/>
  <c r="O76" i="20"/>
  <c r="F76" i="20"/>
  <c r="C77" i="20"/>
  <c r="U76" i="20"/>
  <c r="G76" i="20"/>
  <c r="R76" i="20"/>
  <c r="Q405" i="16" l="1" a="1"/>
  <c r="Q405" i="16" s="1"/>
  <c r="Q397" i="16" a="1"/>
  <c r="Q397" i="16" s="1"/>
  <c r="Q396" i="16" a="1"/>
  <c r="Q396" i="16" s="1"/>
  <c r="Q395" i="16" a="1"/>
  <c r="Q395" i="16" s="1"/>
  <c r="Q403" i="16" a="1"/>
  <c r="Q403" i="16" s="1"/>
  <c r="Q401" i="16" a="1"/>
  <c r="Q401" i="16" s="1"/>
  <c r="Q400" i="16" a="1"/>
  <c r="Q400" i="16" s="1"/>
  <c r="Q394" i="16" a="1"/>
  <c r="Q394" i="16" s="1"/>
  <c r="Q393" i="16" a="1"/>
  <c r="Q393" i="16" s="1"/>
  <c r="Q407" i="16" a="1"/>
  <c r="Q407" i="16" s="1"/>
  <c r="Q406" i="16" a="1"/>
  <c r="Q406" i="16" s="1"/>
  <c r="Q399" i="16" a="1"/>
  <c r="Q399" i="16" s="1"/>
  <c r="Q402" i="16" a="1"/>
  <c r="Q402" i="16" s="1"/>
  <c r="Q398" i="16" a="1"/>
  <c r="Q398" i="16" s="1"/>
  <c r="Q404" i="16" a="1"/>
  <c r="Q404" i="16" s="1"/>
  <c r="Q572" i="16" a="1"/>
  <c r="Q572" i="16" s="1"/>
  <c r="Q481" i="16" a="1"/>
  <c r="Q481" i="16" s="1"/>
  <c r="P482" i="16"/>
  <c r="P1257" i="14"/>
  <c r="Q1257" i="14" s="1"/>
  <c r="P573" i="16"/>
  <c r="C54" i="20"/>
  <c r="F55" i="20"/>
  <c r="G55" i="20"/>
  <c r="H77" i="20"/>
  <c r="R77" i="20"/>
  <c r="O77" i="20"/>
  <c r="G77" i="20"/>
  <c r="U77" i="20"/>
  <c r="C78" i="20"/>
  <c r="F77" i="20"/>
  <c r="Q381" i="16" l="1" a="1"/>
  <c r="Q381" i="16" s="1"/>
  <c r="Q388" i="16" a="1"/>
  <c r="Q388" i="16" s="1"/>
  <c r="Q387" i="16" a="1"/>
  <c r="Q387" i="16" s="1"/>
  <c r="Q373" i="16" a="1"/>
  <c r="Q373" i="16" s="1"/>
  <c r="Q380" i="16" a="1"/>
  <c r="Q380" i="16" s="1"/>
  <c r="Q379" i="16" a="1"/>
  <c r="Q379" i="16" s="1"/>
  <c r="Q389" i="16" a="1"/>
  <c r="Q389" i="16" s="1"/>
  <c r="Q383" i="16" a="1"/>
  <c r="Q383" i="16" s="1"/>
  <c r="Q382" i="16" a="1"/>
  <c r="Q382" i="16" s="1"/>
  <c r="Q386" i="16" a="1"/>
  <c r="Q386" i="16" s="1"/>
  <c r="Q392" i="16" a="1"/>
  <c r="Q392" i="16" s="1"/>
  <c r="Q375" i="16" a="1"/>
  <c r="Q375" i="16" s="1"/>
  <c r="Q374" i="16" a="1"/>
  <c r="Q374" i="16" s="1"/>
  <c r="Q372" i="16" a="1"/>
  <c r="Q372" i="16" s="1"/>
  <c r="Q385" i="16" a="1"/>
  <c r="Q385" i="16" s="1"/>
  <c r="Q384" i="16" a="1"/>
  <c r="Q384" i="16" s="1"/>
  <c r="Q377" i="16" a="1"/>
  <c r="Q377" i="16" s="1"/>
  <c r="Q376" i="16" a="1"/>
  <c r="Q376" i="16" s="1"/>
  <c r="Q390" i="16" a="1"/>
  <c r="Q390" i="16" s="1"/>
  <c r="Q391" i="16" a="1"/>
  <c r="Q391" i="16" s="1"/>
  <c r="Q378" i="16" a="1"/>
  <c r="Q378" i="16" s="1"/>
  <c r="Q482" i="16" a="1"/>
  <c r="Q482" i="16" s="1"/>
  <c r="Q573" i="16" a="1"/>
  <c r="Q573" i="16" s="1"/>
  <c r="P483" i="16"/>
  <c r="P1258" i="14"/>
  <c r="Q1258" i="14" s="1"/>
  <c r="P574" i="16"/>
  <c r="G54" i="20"/>
  <c r="C53" i="20"/>
  <c r="F54" i="20"/>
  <c r="H78" i="20"/>
  <c r="C79" i="20"/>
  <c r="F78" i="20"/>
  <c r="G78" i="20"/>
  <c r="R78" i="20"/>
  <c r="U78" i="20"/>
  <c r="O78" i="20"/>
  <c r="Q356" i="16" l="1" a="1"/>
  <c r="Q356" i="16" s="1"/>
  <c r="Q349" i="16" a="1"/>
  <c r="Q349" i="16" s="1"/>
  <c r="Q341" i="16" a="1"/>
  <c r="Q341" i="16" s="1"/>
  <c r="Q348" i="16" a="1"/>
  <c r="Q348" i="16" s="1"/>
  <c r="Q365" i="16" a="1"/>
  <c r="Q365" i="16" s="1"/>
  <c r="Q340" i="16" a="1"/>
  <c r="Q340" i="16" s="1"/>
  <c r="Q339" i="16" a="1"/>
  <c r="Q339" i="16" s="1"/>
  <c r="Q357" i="16" a="1"/>
  <c r="Q357" i="16" s="1"/>
  <c r="Q364" i="16" a="1"/>
  <c r="Q364" i="16" s="1"/>
  <c r="Q363" i="16" a="1"/>
  <c r="Q363" i="16" s="1"/>
  <c r="Q362" i="16" a="1"/>
  <c r="Q362" i="16" s="1"/>
  <c r="Q369" i="16" a="1"/>
  <c r="Q369" i="16" s="1"/>
  <c r="Q368" i="16" a="1"/>
  <c r="Q368" i="16" s="1"/>
  <c r="Q350" i="16" a="1"/>
  <c r="Q350" i="16" s="1"/>
  <c r="Q347" i="16" a="1"/>
  <c r="Q347" i="16" s="1"/>
  <c r="Q351" i="16" a="1"/>
  <c r="Q351" i="16" s="1"/>
  <c r="Q354" i="16" a="1"/>
  <c r="Q354" i="16" s="1"/>
  <c r="Q361" i="16" a="1"/>
  <c r="Q361" i="16" s="1"/>
  <c r="Q360" i="16" a="1"/>
  <c r="Q360" i="16" s="1"/>
  <c r="Q343" i="16" a="1"/>
  <c r="Q343" i="16" s="1"/>
  <c r="Q342" i="16" a="1"/>
  <c r="Q342" i="16" s="1"/>
  <c r="Q346" i="16" a="1"/>
  <c r="Q346" i="16" s="1"/>
  <c r="Q353" i="16" a="1"/>
  <c r="Q353" i="16" s="1"/>
  <c r="Q367" i="16" a="1"/>
  <c r="Q367" i="16" s="1"/>
  <c r="Q366" i="16" a="1"/>
  <c r="Q366" i="16" s="1"/>
  <c r="Q352" i="16" a="1"/>
  <c r="Q352" i="16" s="1"/>
  <c r="Q371" i="16" a="1"/>
  <c r="Q371" i="16" s="1"/>
  <c r="Q370" i="16" a="1"/>
  <c r="Q370" i="16" s="1"/>
  <c r="Q345" i="16" a="1"/>
  <c r="Q345" i="16" s="1"/>
  <c r="Q344" i="16" a="1"/>
  <c r="Q344" i="16" s="1"/>
  <c r="Q358" i="16" a="1"/>
  <c r="Q358" i="16" s="1"/>
  <c r="Q355" i="16" a="1"/>
  <c r="Q355" i="16" s="1"/>
  <c r="Q359" i="16" a="1"/>
  <c r="Q359" i="16" s="1"/>
  <c r="Q483" i="16" a="1"/>
  <c r="Q483" i="16" s="1"/>
  <c r="Q574" i="16" a="1"/>
  <c r="Q574" i="16" s="1"/>
  <c r="P484" i="16"/>
  <c r="P1259" i="14"/>
  <c r="Q1259" i="14" s="1"/>
  <c r="P575" i="16"/>
  <c r="C52" i="20"/>
  <c r="F53" i="20"/>
  <c r="G53" i="20"/>
  <c r="H79" i="20"/>
  <c r="G79" i="20"/>
  <c r="U79" i="20"/>
  <c r="C80" i="20"/>
  <c r="F79" i="20"/>
  <c r="O79" i="20"/>
  <c r="R79" i="20"/>
  <c r="Q293" i="16" l="1" a="1"/>
  <c r="Q293" i="16" s="1"/>
  <c r="Q316" i="16" a="1"/>
  <c r="Q316" i="16" s="1"/>
  <c r="Q324" i="16" a="1"/>
  <c r="Q324" i="16" s="1"/>
  <c r="Q287" i="16" a="1"/>
  <c r="Q287" i="16" s="1"/>
  <c r="Q301" i="16" a="1"/>
  <c r="Q301" i="16" s="1"/>
  <c r="Q296" i="16" a="1"/>
  <c r="Q296" i="16" s="1"/>
  <c r="Q323" i="16" a="1"/>
  <c r="Q323" i="16" s="1"/>
  <c r="Q288" i="16" a="1"/>
  <c r="Q288" i="16" s="1"/>
  <c r="Q325" i="16" a="1"/>
  <c r="Q325" i="16" s="1"/>
  <c r="Q332" i="16" a="1"/>
  <c r="Q332" i="16" s="1"/>
  <c r="Q291" i="16" a="1"/>
  <c r="Q291" i="16" s="1"/>
  <c r="Q309" i="16" a="1"/>
  <c r="Q309" i="16" s="1"/>
  <c r="Q331" i="16" a="1"/>
  <c r="Q331" i="16" s="1"/>
  <c r="Q292" i="16" a="1"/>
  <c r="Q292" i="16" s="1"/>
  <c r="Q330" i="16" a="1"/>
  <c r="Q330" i="16" s="1"/>
  <c r="Q297" i="16" a="1"/>
  <c r="Q297" i="16" s="1"/>
  <c r="Q337" i="16" a="1"/>
  <c r="Q337" i="16" s="1"/>
  <c r="Q305" i="16" a="1"/>
  <c r="Q305" i="16" s="1"/>
  <c r="Q336" i="16" a="1"/>
  <c r="Q336" i="16" s="1"/>
  <c r="Q322" i="16" a="1"/>
  <c r="Q322" i="16" s="1"/>
  <c r="Q321" i="16" a="1"/>
  <c r="Q321" i="16" s="1"/>
  <c r="Q307" i="16" a="1"/>
  <c r="Q307" i="16" s="1"/>
  <c r="Q294" i="16" a="1"/>
  <c r="Q294" i="16" s="1"/>
  <c r="Q295" i="16" a="1"/>
  <c r="Q295" i="16" s="1"/>
  <c r="Q317" i="16" a="1"/>
  <c r="Q317" i="16" s="1"/>
  <c r="Q310" i="16" a="1"/>
  <c r="Q310" i="16" s="1"/>
  <c r="Q304" i="16" a="1"/>
  <c r="Q304" i="16" s="1"/>
  <c r="Q308" i="16" a="1"/>
  <c r="Q308" i="16" s="1"/>
  <c r="Q306" i="16" a="1"/>
  <c r="Q306" i="16" s="1"/>
  <c r="Q314" i="16" a="1"/>
  <c r="Q314" i="16" s="1"/>
  <c r="Q333" i="16" a="1"/>
  <c r="Q333" i="16" s="1"/>
  <c r="Q299" i="16" a="1"/>
  <c r="Q299" i="16" s="1"/>
  <c r="Q329" i="16" a="1"/>
  <c r="Q329" i="16" s="1"/>
  <c r="Q311" i="16" a="1"/>
  <c r="Q311" i="16" s="1"/>
  <c r="Q328" i="16" a="1"/>
  <c r="Q328" i="16" s="1"/>
  <c r="Q318" i="16" a="1"/>
  <c r="Q318" i="16" s="1"/>
  <c r="Q334" i="16" a="1"/>
  <c r="Q334" i="16" s="1"/>
  <c r="Q289" i="16" a="1"/>
  <c r="Q289" i="16" s="1"/>
  <c r="Q302" i="16" a="1"/>
  <c r="Q302" i="16" s="1"/>
  <c r="Q312" i="16" a="1"/>
  <c r="Q312" i="16" s="1"/>
  <c r="Q320" i="16" a="1"/>
  <c r="Q320" i="16" s="1"/>
  <c r="Q303" i="16" a="1"/>
  <c r="Q303" i="16" s="1"/>
  <c r="Q335" i="16" a="1"/>
  <c r="Q335" i="16" s="1"/>
  <c r="Q298" i="16" a="1"/>
  <c r="Q298" i="16" s="1"/>
  <c r="Q338" i="16" a="1"/>
  <c r="Q338" i="16" s="1"/>
  <c r="Q290" i="16" a="1"/>
  <c r="Q290" i="16" s="1"/>
  <c r="Q300" i="16" a="1"/>
  <c r="Q300" i="16" s="1"/>
  <c r="Q319" i="16" a="1"/>
  <c r="Q319" i="16" s="1"/>
  <c r="Q313" i="16" a="1"/>
  <c r="Q313" i="16" s="1"/>
  <c r="Q327" i="16" a="1"/>
  <c r="Q327" i="16" s="1"/>
  <c r="Q326" i="16" a="1"/>
  <c r="Q326" i="16" s="1"/>
  <c r="Q315" i="16" a="1"/>
  <c r="Q315" i="16" s="1"/>
  <c r="Q575" i="16" a="1"/>
  <c r="Q575" i="16" s="1"/>
  <c r="Q484" i="16" a="1"/>
  <c r="Q484" i="16" s="1"/>
  <c r="P485" i="16"/>
  <c r="P1260" i="14"/>
  <c r="Q1260" i="14" s="1"/>
  <c r="P576" i="16"/>
  <c r="C51" i="20"/>
  <c r="G52" i="20"/>
  <c r="F52" i="20"/>
  <c r="H80" i="20"/>
  <c r="O80" i="20"/>
  <c r="R80" i="20"/>
  <c r="F80" i="20"/>
  <c r="U80" i="20"/>
  <c r="C81" i="20"/>
  <c r="G80" i="20"/>
  <c r="Q277" i="16" l="1" a="1"/>
  <c r="Q277" i="16" s="1"/>
  <c r="Q279" i="16" a="1"/>
  <c r="Q279" i="16" s="1"/>
  <c r="Q223" i="16" a="1"/>
  <c r="Q223" i="16" s="1"/>
  <c r="Q229" i="16" a="1"/>
  <c r="Q229" i="16" s="1"/>
  <c r="Q236" i="16" a="1"/>
  <c r="Q236" i="16" s="1"/>
  <c r="Q231" i="16" a="1"/>
  <c r="Q231" i="16" s="1"/>
  <c r="Q238" i="16" a="1"/>
  <c r="Q238" i="16" s="1"/>
  <c r="Q249" i="16" a="1"/>
  <c r="Q249" i="16" s="1"/>
  <c r="Q252" i="16" a="1"/>
  <c r="Q252" i="16" s="1"/>
  <c r="Q286" i="16" a="1"/>
  <c r="Q286" i="16" s="1"/>
  <c r="Q254" i="16" a="1"/>
  <c r="Q254" i="16" s="1"/>
  <c r="Q272" i="16" a="1"/>
  <c r="Q272" i="16" s="1"/>
  <c r="Q282" i="16" a="1"/>
  <c r="Q282" i="16" s="1"/>
  <c r="Q261" i="16" a="1"/>
  <c r="Q261" i="16" s="1"/>
  <c r="Q268" i="16" a="1"/>
  <c r="Q268" i="16" s="1"/>
  <c r="Q219" i="16" a="1"/>
  <c r="Q219" i="16" s="1"/>
  <c r="Q270" i="16" a="1"/>
  <c r="Q270" i="16" s="1"/>
  <c r="Q263" i="16" a="1"/>
  <c r="Q263" i="16" s="1"/>
  <c r="Q281" i="16" a="1"/>
  <c r="Q281" i="16" s="1"/>
  <c r="Q283" i="16" a="1"/>
  <c r="Q283" i="16" s="1"/>
  <c r="Q226" i="16" a="1"/>
  <c r="Q226" i="16" s="1"/>
  <c r="Q260" i="16" a="1"/>
  <c r="Q260" i="16" s="1"/>
  <c r="Q220" i="16" a="1"/>
  <c r="Q220" i="16" s="1"/>
  <c r="Q284" i="16" a="1"/>
  <c r="Q284" i="16" s="1"/>
  <c r="Q241" i="16" a="1"/>
  <c r="Q241" i="16" s="1"/>
  <c r="Q280" i="16" a="1"/>
  <c r="Q280" i="16" s="1"/>
  <c r="Q227" i="16" a="1"/>
  <c r="Q227" i="16" s="1"/>
  <c r="Q240" i="16" a="1"/>
  <c r="Q240" i="16" s="1"/>
  <c r="Q251" i="16" a="1"/>
  <c r="Q251" i="16" s="1"/>
  <c r="Q262" i="16" a="1"/>
  <c r="Q262" i="16" s="1"/>
  <c r="Q222" i="16" a="1"/>
  <c r="Q222" i="16" s="1"/>
  <c r="Q285" i="16" a="1"/>
  <c r="Q285" i="16" s="1"/>
  <c r="Q247" i="16" a="1"/>
  <c r="Q247" i="16" s="1"/>
  <c r="Q276" i="16" a="1"/>
  <c r="Q276" i="16" s="1"/>
  <c r="Q239" i="16" a="1"/>
  <c r="Q239" i="16" s="1"/>
  <c r="Q278" i="16" a="1"/>
  <c r="Q278" i="16" s="1"/>
  <c r="Q243" i="16" a="1"/>
  <c r="Q243" i="16" s="1"/>
  <c r="Q234" i="16" a="1"/>
  <c r="Q234" i="16" s="1"/>
  <c r="Q233" i="16" a="1"/>
  <c r="Q233" i="16" s="1"/>
  <c r="Q256" i="16" a="1"/>
  <c r="Q256" i="16" s="1"/>
  <c r="Q267" i="16" a="1"/>
  <c r="Q267" i="16" s="1"/>
  <c r="Q242" i="16" a="1"/>
  <c r="Q242" i="16" s="1"/>
  <c r="Q237" i="16" a="1"/>
  <c r="Q237" i="16" s="1"/>
  <c r="Q257" i="16" a="1"/>
  <c r="Q257" i="16" s="1"/>
  <c r="Q232" i="16" a="1"/>
  <c r="Q232" i="16" s="1"/>
  <c r="Q255" i="16" a="1"/>
  <c r="Q255" i="16" s="1"/>
  <c r="Q258" i="16" a="1"/>
  <c r="Q258" i="16" s="1"/>
  <c r="Q228" i="16" a="1"/>
  <c r="Q228" i="16" s="1"/>
  <c r="Q230" i="16" a="1"/>
  <c r="Q230" i="16" s="1"/>
  <c r="Q273" i="16" a="1"/>
  <c r="Q273" i="16" s="1"/>
  <c r="Q248" i="16" a="1"/>
  <c r="Q248" i="16" s="1"/>
  <c r="Q250" i="16" a="1"/>
  <c r="Q250" i="16" s="1"/>
  <c r="Q259" i="16" a="1"/>
  <c r="Q259" i="16" s="1"/>
  <c r="Q245" i="16" a="1"/>
  <c r="Q245" i="16" s="1"/>
  <c r="Q235" i="16" a="1"/>
  <c r="Q235" i="16" s="1"/>
  <c r="Q274" i="16" a="1"/>
  <c r="Q274" i="16" s="1"/>
  <c r="Q244" i="16" a="1"/>
  <c r="Q244" i="16" s="1"/>
  <c r="Q221" i="16" a="1"/>
  <c r="Q221" i="16" s="1"/>
  <c r="Q271" i="16" a="1"/>
  <c r="Q271" i="16" s="1"/>
  <c r="Q225" i="16" a="1"/>
  <c r="Q225" i="16" s="1"/>
  <c r="Q264" i="16" a="1"/>
  <c r="Q264" i="16" s="1"/>
  <c r="Q224" i="16" a="1"/>
  <c r="Q224" i="16" s="1"/>
  <c r="Q266" i="16" a="1"/>
  <c r="Q266" i="16" s="1"/>
  <c r="Q265" i="16" a="1"/>
  <c r="Q265" i="16" s="1"/>
  <c r="Q269" i="16" a="1"/>
  <c r="Q269" i="16" s="1"/>
  <c r="Q246" i="16" a="1"/>
  <c r="Q246" i="16" s="1"/>
  <c r="Q275" i="16" a="1"/>
  <c r="Q275" i="16" s="1"/>
  <c r="Q253" i="16" a="1"/>
  <c r="Q253" i="16" s="1"/>
  <c r="Q485" i="16" a="1"/>
  <c r="Q485" i="16" s="1"/>
  <c r="Q576" i="16" a="1"/>
  <c r="Q576" i="16" s="1"/>
  <c r="P486" i="16"/>
  <c r="P1261" i="14"/>
  <c r="Q1261" i="14" s="1"/>
  <c r="P577" i="16"/>
  <c r="C50" i="20"/>
  <c r="G51" i="20"/>
  <c r="F51" i="20"/>
  <c r="H81" i="20"/>
  <c r="F81" i="20"/>
  <c r="G81" i="20"/>
  <c r="O81" i="20"/>
  <c r="U81" i="20"/>
  <c r="R81" i="20"/>
  <c r="C82" i="20"/>
  <c r="Q207" i="16" l="1" a="1"/>
  <c r="Q207" i="16" s="1"/>
  <c r="Q140" i="16" a="1"/>
  <c r="Q140" i="16" s="1"/>
  <c r="Q91" i="16" a="1"/>
  <c r="Q91" i="16" s="1"/>
  <c r="Q142" i="16" a="1"/>
  <c r="Q142" i="16" s="1"/>
  <c r="Q206" i="16" a="1"/>
  <c r="Q206" i="16" s="1"/>
  <c r="Q115" i="16" a="1"/>
  <c r="Q115" i="16" s="1"/>
  <c r="Q204" i="16" a="1"/>
  <c r="Q204" i="16" s="1"/>
  <c r="Q215" i="16" a="1"/>
  <c r="Q215" i="16" s="1"/>
  <c r="Q145" i="16" a="1"/>
  <c r="Q145" i="16" s="1"/>
  <c r="Q156" i="16" a="1"/>
  <c r="Q156" i="16" s="1"/>
  <c r="Q210" i="16" a="1"/>
  <c r="Q210" i="16" s="1"/>
  <c r="Q124" i="16" a="1"/>
  <c r="Q124" i="16" s="1"/>
  <c r="Q96" i="16" a="1"/>
  <c r="Q96" i="16" s="1"/>
  <c r="Q212" i="16" a="1"/>
  <c r="Q212" i="16" s="1"/>
  <c r="Q107" i="16" a="1"/>
  <c r="Q107" i="16" s="1"/>
  <c r="Q149" i="16" a="1"/>
  <c r="Q149" i="16" s="1"/>
  <c r="Q158" i="16" a="1"/>
  <c r="Q158" i="16" s="1"/>
  <c r="Q214" i="16" a="1"/>
  <c r="Q214" i="16" s="1"/>
  <c r="Q102" i="16" a="1"/>
  <c r="Q102" i="16" s="1"/>
  <c r="Q189" i="16" a="1"/>
  <c r="Q189" i="16" s="1"/>
  <c r="Q177" i="16" a="1"/>
  <c r="Q177" i="16" s="1"/>
  <c r="Q172" i="16" a="1"/>
  <c r="Q172" i="16" s="1"/>
  <c r="Q116" i="16" a="1"/>
  <c r="Q116" i="16" s="1"/>
  <c r="Q131" i="16" a="1"/>
  <c r="Q131" i="16" s="1"/>
  <c r="Q181" i="16" a="1"/>
  <c r="Q181" i="16" s="1"/>
  <c r="Q90" i="16" a="1"/>
  <c r="Q90" i="16" s="1"/>
  <c r="Q185" i="16" a="1"/>
  <c r="Q185" i="16" s="1"/>
  <c r="Q176" i="16" a="1"/>
  <c r="Q176" i="16" s="1"/>
  <c r="Q114" i="16" a="1"/>
  <c r="Q114" i="16" s="1"/>
  <c r="Q175" i="16" a="1"/>
  <c r="Q175" i="16" s="1"/>
  <c r="Q211" i="16" a="1"/>
  <c r="Q211" i="16" s="1"/>
  <c r="Q108" i="16" a="1"/>
  <c r="Q108" i="16" s="1"/>
  <c r="Q147" i="16" a="1"/>
  <c r="Q147" i="16" s="1"/>
  <c r="Q190" i="16" a="1"/>
  <c r="Q190" i="16" s="1"/>
  <c r="Q123" i="16" a="1"/>
  <c r="Q123" i="16" s="1"/>
  <c r="Q95" i="16" a="1"/>
  <c r="Q95" i="16" s="1"/>
  <c r="Q188" i="16" a="1"/>
  <c r="Q188" i="16" s="1"/>
  <c r="Q183" i="16" a="1"/>
  <c r="Q183" i="16" s="1"/>
  <c r="Q128" i="16" a="1"/>
  <c r="Q128" i="16" s="1"/>
  <c r="Q106" i="16" a="1"/>
  <c r="Q106" i="16" s="1"/>
  <c r="Q178" i="16" a="1"/>
  <c r="Q178" i="16" s="1"/>
  <c r="Q88" i="16" a="1"/>
  <c r="Q88" i="16" s="1"/>
  <c r="Q161" i="16" a="1"/>
  <c r="Q161" i="16" s="1"/>
  <c r="Q164" i="16" a="1"/>
  <c r="Q164" i="16" s="1"/>
  <c r="Q218" i="16" a="1"/>
  <c r="Q218" i="16" s="1"/>
  <c r="Q104" i="16" a="1"/>
  <c r="Q104" i="16" s="1"/>
  <c r="Q166" i="16" a="1"/>
  <c r="Q166" i="16" s="1"/>
  <c r="Q118" i="16" a="1"/>
  <c r="Q118" i="16" s="1"/>
  <c r="Q100" i="16" a="1"/>
  <c r="Q100" i="16" s="1"/>
  <c r="Q171" i="16" a="1"/>
  <c r="Q171" i="16" s="1"/>
  <c r="Q205" i="16" a="1"/>
  <c r="Q205" i="16" s="1"/>
  <c r="Q186" i="16" a="1"/>
  <c r="Q186" i="16" s="1"/>
  <c r="Q117" i="16" a="1"/>
  <c r="Q117" i="16" s="1"/>
  <c r="Q99" i="16" a="1"/>
  <c r="Q99" i="16" s="1"/>
  <c r="Q136" i="16" a="1"/>
  <c r="Q136" i="16" s="1"/>
  <c r="Q174" i="16" a="1"/>
  <c r="Q174" i="16" s="1"/>
  <c r="Q143" i="16" a="1"/>
  <c r="Q143" i="16" s="1"/>
  <c r="Q153" i="16" a="1"/>
  <c r="Q153" i="16" s="1"/>
  <c r="Q165" i="16" a="1"/>
  <c r="Q165" i="16" s="1"/>
  <c r="Q111" i="16" a="1"/>
  <c r="Q111" i="16" s="1"/>
  <c r="Q159" i="16" a="1"/>
  <c r="Q159" i="16" s="1"/>
  <c r="Q169" i="16" a="1"/>
  <c r="Q169" i="16" s="1"/>
  <c r="Q168" i="16" a="1"/>
  <c r="Q168" i="16" s="1"/>
  <c r="Q199" i="16" a="1"/>
  <c r="Q199" i="16" s="1"/>
  <c r="Q192" i="16" a="1"/>
  <c r="Q192" i="16" s="1"/>
  <c r="Q89" i="16" a="1"/>
  <c r="Q89" i="16" s="1"/>
  <c r="Q130" i="16" a="1"/>
  <c r="Q130" i="16" s="1"/>
  <c r="Q194" i="16" a="1"/>
  <c r="Q194" i="16" s="1"/>
  <c r="Q121" i="16" a="1"/>
  <c r="Q121" i="16" s="1"/>
  <c r="Q94" i="16" a="1"/>
  <c r="Q94" i="16" s="1"/>
  <c r="Q193" i="16" a="1"/>
  <c r="Q193" i="16" s="1"/>
  <c r="Q180" i="16" a="1"/>
  <c r="Q180" i="16" s="1"/>
  <c r="Q87" i="16" a="1"/>
  <c r="Q87" i="16" s="1"/>
  <c r="Q101" i="16" a="1"/>
  <c r="Q101" i="16" s="1"/>
  <c r="Q197" i="16" a="1"/>
  <c r="Q197" i="16" s="1"/>
  <c r="Q182" i="16" a="1"/>
  <c r="Q182" i="16" s="1"/>
  <c r="Q184" i="16" a="1"/>
  <c r="Q184" i="16" s="1"/>
  <c r="Q110" i="16" a="1"/>
  <c r="Q110" i="16" s="1"/>
  <c r="Q163" i="16" a="1"/>
  <c r="Q163" i="16" s="1"/>
  <c r="Q203" i="16" a="1"/>
  <c r="Q203" i="16" s="1"/>
  <c r="Q138" i="16" a="1"/>
  <c r="Q138" i="16" s="1"/>
  <c r="Q202" i="16" a="1"/>
  <c r="Q202" i="16" s="1"/>
  <c r="Q213" i="16" a="1"/>
  <c r="Q213" i="16" s="1"/>
  <c r="Q191" i="16" a="1"/>
  <c r="Q191" i="16" s="1"/>
  <c r="Q179" i="16" a="1"/>
  <c r="Q179" i="16" s="1"/>
  <c r="Q103" i="16" a="1"/>
  <c r="Q103" i="16" s="1"/>
  <c r="Q135" i="16" a="1"/>
  <c r="Q135" i="16" s="1"/>
  <c r="Q201" i="16" a="1"/>
  <c r="Q201" i="16" s="1"/>
  <c r="Q109" i="16" a="1"/>
  <c r="Q109" i="16" s="1"/>
  <c r="Q209" i="16" a="1"/>
  <c r="Q209" i="16" s="1"/>
  <c r="Q155" i="16" a="1"/>
  <c r="Q155" i="16" s="1"/>
  <c r="Q146" i="16" a="1"/>
  <c r="Q146" i="16" s="1"/>
  <c r="Q113" i="16" a="1"/>
  <c r="Q113" i="16" s="1"/>
  <c r="Q132" i="16" a="1"/>
  <c r="Q132" i="16" s="1"/>
  <c r="Q196" i="16" a="1"/>
  <c r="Q196" i="16" s="1"/>
  <c r="Q120" i="16" a="1"/>
  <c r="Q120" i="16" s="1"/>
  <c r="Q195" i="16" a="1"/>
  <c r="Q195" i="16" s="1"/>
  <c r="Q134" i="16" a="1"/>
  <c r="Q134" i="16" s="1"/>
  <c r="Q86" i="16" a="1"/>
  <c r="Q86" i="16" s="1"/>
  <c r="Q93" i="16" a="1"/>
  <c r="Q93" i="16" s="1"/>
  <c r="Q141" i="16" a="1"/>
  <c r="Q141" i="16" s="1"/>
  <c r="Q154" i="16" a="1"/>
  <c r="Q154" i="16" s="1"/>
  <c r="Q208" i="16" a="1"/>
  <c r="Q208" i="16" s="1"/>
  <c r="Q92" i="16" a="1"/>
  <c r="Q92" i="16" s="1"/>
  <c r="Q200" i="16" a="1"/>
  <c r="Q200" i="16" s="1"/>
  <c r="Q144" i="16" a="1"/>
  <c r="Q144" i="16" s="1"/>
  <c r="Q151" i="16" a="1"/>
  <c r="Q151" i="16" s="1"/>
  <c r="Q162" i="16" a="1"/>
  <c r="Q162" i="16" s="1"/>
  <c r="Q216" i="16" a="1"/>
  <c r="Q216" i="16" s="1"/>
  <c r="Q105" i="16" a="1"/>
  <c r="Q105" i="16" s="1"/>
  <c r="Q129" i="16" a="1"/>
  <c r="Q129" i="16" s="1"/>
  <c r="Q148" i="16" a="1"/>
  <c r="Q148" i="16" s="1"/>
  <c r="Q217" i="16" a="1"/>
  <c r="Q217" i="16" s="1"/>
  <c r="Q112" i="16" a="1"/>
  <c r="Q112" i="16" s="1"/>
  <c r="Q133" i="16" a="1"/>
  <c r="Q133" i="16" s="1"/>
  <c r="Q152" i="16" a="1"/>
  <c r="Q152" i="16" s="1"/>
  <c r="Q126" i="16" a="1"/>
  <c r="Q126" i="16" s="1"/>
  <c r="Q85" i="16" a="1"/>
  <c r="Q85" i="16" s="1"/>
  <c r="Q98" i="16" a="1"/>
  <c r="Q98" i="16" s="1"/>
  <c r="Q139" i="16" a="1"/>
  <c r="Q139" i="16" s="1"/>
  <c r="Q173" i="16" a="1"/>
  <c r="Q173" i="16" s="1"/>
  <c r="Q170" i="16" a="1"/>
  <c r="Q170" i="16" s="1"/>
  <c r="Q84" i="16" a="1"/>
  <c r="Q84" i="16" s="1"/>
  <c r="Q97" i="16" a="1"/>
  <c r="Q97" i="16" s="1"/>
  <c r="Q187" i="16" a="1"/>
  <c r="Q187" i="16" s="1"/>
  <c r="Q198" i="16" a="1"/>
  <c r="Q198" i="16" s="1"/>
  <c r="Q127" i="16" a="1"/>
  <c r="Q127" i="16" s="1"/>
  <c r="Q160" i="16" a="1"/>
  <c r="Q160" i="16" s="1"/>
  <c r="Q157" i="16" a="1"/>
  <c r="Q157" i="16" s="1"/>
  <c r="Q150" i="16" a="1"/>
  <c r="Q150" i="16" s="1"/>
  <c r="Q119" i="16" a="1"/>
  <c r="Q119" i="16" s="1"/>
  <c r="Q137" i="16" a="1"/>
  <c r="Q137" i="16" s="1"/>
  <c r="Q125" i="16" a="1"/>
  <c r="Q125" i="16" s="1"/>
  <c r="Q122" i="16" a="1"/>
  <c r="Q122" i="16" s="1"/>
  <c r="Q167" i="16" a="1"/>
  <c r="Q167" i="16" s="1"/>
  <c r="Q577" i="16" a="1"/>
  <c r="Q577" i="16" s="1"/>
  <c r="Q486" i="16" a="1"/>
  <c r="Q486" i="16" s="1"/>
  <c r="P487" i="16"/>
  <c r="P1262" i="14"/>
  <c r="Q1262" i="14" s="1"/>
  <c r="P578" i="16"/>
  <c r="G50" i="20"/>
  <c r="C49" i="20"/>
  <c r="F50" i="20"/>
  <c r="H82" i="20"/>
  <c r="U82" i="20"/>
  <c r="G82" i="20"/>
  <c r="F82" i="20"/>
  <c r="O82" i="20"/>
  <c r="C83" i="20"/>
  <c r="R82" i="20"/>
  <c r="Q83" i="16" l="1" a="1"/>
  <c r="Q83" i="16" s="1"/>
  <c r="Q75" i="16" a="1"/>
  <c r="Q75" i="16" s="1"/>
  <c r="Q82" i="16" a="1"/>
  <c r="Q82" i="16" s="1"/>
  <c r="Q77" i="16" a="1"/>
  <c r="Q77" i="16" s="1"/>
  <c r="Q76" i="16" a="1"/>
  <c r="Q76" i="16" s="1"/>
  <c r="Q80" i="16" a="1"/>
  <c r="Q80" i="16" s="1"/>
  <c r="Q81" i="16" a="1"/>
  <c r="Q81" i="16" s="1"/>
  <c r="Q79" i="16" a="1"/>
  <c r="Q79" i="16" s="1"/>
  <c r="Q78" i="16" a="1"/>
  <c r="Q78" i="16" s="1"/>
  <c r="Q487" i="16" a="1"/>
  <c r="Q487" i="16" s="1"/>
  <c r="Q578" i="16" a="1"/>
  <c r="Q578" i="16" s="1"/>
  <c r="P488" i="16"/>
  <c r="P1263" i="14"/>
  <c r="Q1263" i="14" s="1"/>
  <c r="P579" i="16"/>
  <c r="C48" i="20"/>
  <c r="G49" i="20"/>
  <c r="F49" i="20"/>
  <c r="H83" i="20"/>
  <c r="U83" i="20"/>
  <c r="F83" i="20"/>
  <c r="R83" i="20"/>
  <c r="G83" i="20"/>
  <c r="C84" i="20"/>
  <c r="O83" i="20"/>
  <c r="Q73" i="16" l="1" a="1"/>
  <c r="Q73" i="16" s="1"/>
  <c r="Q67" i="16" a="1"/>
  <c r="Q67" i="16" s="1"/>
  <c r="Q70" i="16" a="1"/>
  <c r="Q70" i="16" s="1"/>
  <c r="Q68" i="16" a="1"/>
  <c r="Q68" i="16" s="1"/>
  <c r="Q69" i="16" a="1"/>
  <c r="Q69" i="16" s="1"/>
  <c r="Q72" i="16" a="1"/>
  <c r="Q72" i="16" s="1"/>
  <c r="Q71" i="16" a="1"/>
  <c r="Q71" i="16" s="1"/>
  <c r="Q74" i="16" a="1"/>
  <c r="Q74" i="16" s="1"/>
  <c r="Q488" i="16" a="1"/>
  <c r="Q488" i="16" s="1"/>
  <c r="Q579" i="16" a="1"/>
  <c r="Q579" i="16" s="1"/>
  <c r="P489" i="16"/>
  <c r="P1264" i="14"/>
  <c r="Q1264" i="14" s="1"/>
  <c r="P580" i="16"/>
  <c r="F48" i="20"/>
  <c r="G48" i="20"/>
  <c r="C47" i="20"/>
  <c r="H84" i="20"/>
  <c r="O84" i="20"/>
  <c r="U84" i="20"/>
  <c r="F84" i="20"/>
  <c r="C85" i="20"/>
  <c r="G84" i="20"/>
  <c r="R84" i="20"/>
  <c r="Q59" i="16" l="1" a="1"/>
  <c r="Q59" i="16" s="1"/>
  <c r="Q66" i="16" a="1"/>
  <c r="Q66" i="16" s="1"/>
  <c r="Q57" i="16" a="1"/>
  <c r="Q57" i="16" s="1"/>
  <c r="Q55" i="16" a="1"/>
  <c r="Q55" i="16" s="1"/>
  <c r="Q63" i="16" a="1"/>
  <c r="Q63" i="16" s="1"/>
  <c r="Q56" i="16" a="1"/>
  <c r="Q56" i="16" s="1"/>
  <c r="Q54" i="16" a="1"/>
  <c r="Q54" i="16" s="1"/>
  <c r="Q62" i="16" a="1"/>
  <c r="Q62" i="16" s="1"/>
  <c r="Q60" i="16" a="1"/>
  <c r="Q60" i="16" s="1"/>
  <c r="Q61" i="16" a="1"/>
  <c r="Q61" i="16" s="1"/>
  <c r="Q64" i="16" a="1"/>
  <c r="Q64" i="16" s="1"/>
  <c r="Q58" i="16" a="1"/>
  <c r="Q58" i="16" s="1"/>
  <c r="Q65" i="16" a="1"/>
  <c r="Q65" i="16" s="1"/>
  <c r="Q489" i="16" a="1"/>
  <c r="Q489" i="16" s="1"/>
  <c r="Q580" i="16" a="1"/>
  <c r="Q580" i="16" s="1"/>
  <c r="P490" i="16"/>
  <c r="P1265" i="14"/>
  <c r="Q1265" i="14" s="1"/>
  <c r="P581" i="16"/>
  <c r="F47" i="20"/>
  <c r="C46" i="20"/>
  <c r="G47" i="20"/>
  <c r="H85" i="20"/>
  <c r="G85" i="20"/>
  <c r="C86" i="20"/>
  <c r="U85" i="20"/>
  <c r="O85" i="20"/>
  <c r="F85" i="20"/>
  <c r="R85" i="20"/>
  <c r="Q50" i="16" l="1" a="1"/>
  <c r="Q50" i="16" s="1"/>
  <c r="Q42" i="16" a="1"/>
  <c r="Q42" i="16" s="1"/>
  <c r="Q49" i="16" a="1"/>
  <c r="Q49" i="16" s="1"/>
  <c r="Q44" i="16" a="1"/>
  <c r="Q44" i="16" s="1"/>
  <c r="Q43" i="16" a="1"/>
  <c r="Q43" i="16" s="1"/>
  <c r="Q47" i="16" a="1"/>
  <c r="Q47" i="16" s="1"/>
  <c r="Q48" i="16" a="1"/>
  <c r="Q48" i="16" s="1"/>
  <c r="Q46" i="16" a="1"/>
  <c r="Q46" i="16" s="1"/>
  <c r="Q53" i="16" a="1"/>
  <c r="Q53" i="16" s="1"/>
  <c r="Q45" i="16" a="1"/>
  <c r="Q45" i="16" s="1"/>
  <c r="Q52" i="16" a="1"/>
  <c r="Q52" i="16" s="1"/>
  <c r="Q51" i="16" a="1"/>
  <c r="Q51" i="16" s="1"/>
  <c r="Q581" i="16" a="1"/>
  <c r="Q581" i="16" s="1"/>
  <c r="Q490" i="16" a="1"/>
  <c r="Q490" i="16" s="1"/>
  <c r="P491" i="16"/>
  <c r="P1266" i="14"/>
  <c r="Q1266" i="14" s="1"/>
  <c r="P582" i="16"/>
  <c r="C45" i="20"/>
  <c r="F46" i="20"/>
  <c r="G46" i="20"/>
  <c r="H86" i="20"/>
  <c r="C87" i="20"/>
  <c r="U86" i="20"/>
  <c r="R86" i="20"/>
  <c r="G86" i="20"/>
  <c r="O86" i="20"/>
  <c r="F86" i="20"/>
  <c r="Q491" i="16" l="1" a="1"/>
  <c r="Q491" i="16" s="1"/>
  <c r="Q582" i="16" a="1"/>
  <c r="Q582" i="16" s="1"/>
  <c r="P492" i="16"/>
  <c r="P1267" i="14"/>
  <c r="Q1267" i="14" s="1"/>
  <c r="P583" i="16"/>
  <c r="C44" i="20"/>
  <c r="F45" i="20"/>
  <c r="G45" i="20"/>
  <c r="H87" i="20"/>
  <c r="R87" i="20"/>
  <c r="O87" i="20"/>
  <c r="C88" i="20"/>
  <c r="U87" i="20"/>
  <c r="G87" i="20"/>
  <c r="F87" i="20"/>
  <c r="Q40" i="16" l="1" a="1"/>
  <c r="Q40" i="16" s="1"/>
  <c r="Q37" i="16" a="1"/>
  <c r="Q37" i="16" s="1"/>
  <c r="Q41" i="16" a="1"/>
  <c r="Q41" i="16" s="1"/>
  <c r="Q39" i="16" a="1"/>
  <c r="Q39" i="16" s="1"/>
  <c r="Q38" i="16" a="1"/>
  <c r="Q38" i="16" s="1"/>
  <c r="Q583" i="16" a="1"/>
  <c r="Q583" i="16" s="1"/>
  <c r="Q492" i="16" a="1"/>
  <c r="Q492" i="16" s="1"/>
  <c r="P493" i="16"/>
  <c r="P1268" i="14"/>
  <c r="Q1268" i="14" s="1"/>
  <c r="P584" i="16"/>
  <c r="F44" i="20"/>
  <c r="C43" i="20"/>
  <c r="G44" i="20"/>
  <c r="H88" i="20"/>
  <c r="G88" i="20"/>
  <c r="F88" i="20"/>
  <c r="C89" i="20"/>
  <c r="O88" i="20"/>
  <c r="R88" i="20"/>
  <c r="U88" i="20"/>
  <c r="Q584" i="16" l="1" a="1"/>
  <c r="Q584" i="16" s="1"/>
  <c r="Q493" i="16" a="1"/>
  <c r="Q493" i="16" s="1"/>
  <c r="P494" i="16"/>
  <c r="P1269" i="14"/>
  <c r="Q1269" i="14" s="1"/>
  <c r="P585" i="16"/>
  <c r="C42" i="20"/>
  <c r="F43" i="20"/>
  <c r="G43" i="20"/>
  <c r="H89" i="20"/>
  <c r="C90" i="20"/>
  <c r="R89" i="20"/>
  <c r="G89" i="20"/>
  <c r="U89" i="20"/>
  <c r="F89" i="20"/>
  <c r="O89" i="20"/>
  <c r="Q33" i="16" l="1" a="1"/>
  <c r="Q33" i="16" s="1"/>
  <c r="Q34" i="16" a="1"/>
  <c r="Q34" i="16" s="1"/>
  <c r="Q36" i="16" a="1"/>
  <c r="Q36" i="16" s="1"/>
  <c r="Q32" i="16" a="1"/>
  <c r="Q32" i="16" s="1"/>
  <c r="Q35" i="16" a="1"/>
  <c r="Q35" i="16" s="1"/>
  <c r="Q494" i="16" a="1"/>
  <c r="Q494" i="16" s="1"/>
  <c r="Q585" i="16" a="1"/>
  <c r="Q585" i="16" s="1"/>
  <c r="P495" i="16"/>
  <c r="P1270" i="14"/>
  <c r="Q1270" i="14" s="1"/>
  <c r="P586" i="16"/>
  <c r="C41" i="20"/>
  <c r="G42" i="20"/>
  <c r="F42" i="20"/>
  <c r="H90" i="20"/>
  <c r="O90" i="20"/>
  <c r="U90" i="20"/>
  <c r="R90" i="20"/>
  <c r="F90" i="20"/>
  <c r="C91" i="20"/>
  <c r="G90" i="20"/>
  <c r="Q495" i="16" l="1" a="1"/>
  <c r="Q495" i="16" s="1"/>
  <c r="Q586" i="16" a="1"/>
  <c r="Q586" i="16" s="1"/>
  <c r="P496" i="16"/>
  <c r="P1271" i="14"/>
  <c r="Q1271" i="14" s="1"/>
  <c r="P587" i="16"/>
  <c r="C40" i="20"/>
  <c r="G41" i="20"/>
  <c r="F41" i="20"/>
  <c r="H91" i="20"/>
  <c r="F91" i="20"/>
  <c r="R91" i="20"/>
  <c r="G91" i="20"/>
  <c r="O91" i="20"/>
  <c r="U91" i="20"/>
  <c r="C92" i="20"/>
  <c r="Q48" i="14" l="1"/>
  <c r="Q393" i="14"/>
  <c r="Q238" i="14"/>
  <c r="Q307" i="14"/>
  <c r="Q99" i="14"/>
  <c r="Q388" i="14"/>
  <c r="Q348" i="14"/>
  <c r="Q445" i="14"/>
  <c r="Q424" i="14"/>
  <c r="Q69" i="14"/>
  <c r="Q364" i="14"/>
  <c r="Q30" i="14"/>
  <c r="Q186" i="14"/>
  <c r="Q422" i="14"/>
  <c r="Q446" i="14"/>
  <c r="Q288" i="14"/>
  <c r="Q87" i="14"/>
  <c r="Q190" i="14"/>
  <c r="Q100" i="14"/>
  <c r="Q447" i="14"/>
  <c r="Q468" i="14"/>
  <c r="Q301" i="14"/>
  <c r="Q409" i="14"/>
  <c r="Q62" i="14"/>
  <c r="Q375" i="14"/>
  <c r="Q233" i="14"/>
  <c r="Q101" i="14"/>
  <c r="Q86" i="14"/>
  <c r="Q416" i="14"/>
  <c r="Q436" i="14"/>
  <c r="Q280" i="14"/>
  <c r="Q240" i="14"/>
  <c r="Q25" i="14"/>
  <c r="Q61" i="14"/>
  <c r="Q437" i="14"/>
  <c r="Q460" i="14"/>
  <c r="Q296" i="14"/>
  <c r="Q224" i="14"/>
  <c r="Q272" i="14"/>
  <c r="Q168" i="14"/>
  <c r="Q283" i="14"/>
  <c r="Q56" i="14"/>
  <c r="Q120" i="14"/>
  <c r="Q24" i="14"/>
  <c r="Q133" i="14"/>
  <c r="Q455" i="14"/>
  <c r="Q222" i="14"/>
  <c r="Q311" i="14"/>
  <c r="Q248" i="14"/>
  <c r="Q221" i="14"/>
  <c r="Q179" i="14"/>
  <c r="Q46" i="14"/>
  <c r="Q182" i="14"/>
  <c r="Q453" i="14"/>
  <c r="Q220" i="14"/>
  <c r="Q309" i="14"/>
  <c r="Q193" i="14"/>
  <c r="Q26" i="16" a="1"/>
  <c r="Q26" i="16" s="1"/>
  <c r="Q214" i="14"/>
  <c r="Q265" i="14"/>
  <c r="Q147" i="14"/>
  <c r="Q73" i="14"/>
  <c r="Q94" i="14"/>
  <c r="Q287" i="14"/>
  <c r="Q404" i="14"/>
  <c r="Q300" i="14"/>
  <c r="Q365" i="14"/>
  <c r="Q148" i="14"/>
  <c r="Q106" i="14"/>
  <c r="Q50" i="14"/>
  <c r="Q216" i="14"/>
  <c r="Q405" i="14"/>
  <c r="Q425" i="14"/>
  <c r="Q269" i="14"/>
  <c r="Q134" i="14"/>
  <c r="Q53" i="14"/>
  <c r="Q135" i="14"/>
  <c r="Q420" i="14"/>
  <c r="Q444" i="14"/>
  <c r="Q286" i="14"/>
  <c r="Q361" i="14"/>
  <c r="Q229" i="14"/>
  <c r="Q319" i="14"/>
  <c r="Q471" i="14"/>
  <c r="Q418" i="14"/>
  <c r="Q174" i="14"/>
  <c r="Q397" i="14"/>
  <c r="Q419" i="14"/>
  <c r="Q266" i="14"/>
  <c r="Q192" i="14"/>
  <c r="Q79" i="14"/>
  <c r="Q88" i="14"/>
  <c r="Q414" i="14"/>
  <c r="Q433" i="14"/>
  <c r="Q278" i="14"/>
  <c r="Q426" i="14"/>
  <c r="Q343" i="14"/>
  <c r="Q126" i="14"/>
  <c r="Q438" i="14"/>
  <c r="Q108" i="14"/>
  <c r="Q160" i="14"/>
  <c r="Q44" i="14"/>
  <c r="Q180" i="14"/>
  <c r="Q435" i="14"/>
  <c r="Q458" i="14"/>
  <c r="Q294" i="14"/>
  <c r="Q178" i="14"/>
  <c r="Q275" i="14"/>
  <c r="Q335" i="14"/>
  <c r="Q74" i="14"/>
  <c r="Q210" i="14"/>
  <c r="Q430" i="14"/>
  <c r="Q452" i="14"/>
  <c r="Q292" i="14"/>
  <c r="Q472" i="14"/>
  <c r="Q121" i="14"/>
  <c r="Q45" i="14"/>
  <c r="Q258" i="14"/>
  <c r="Q198" i="14"/>
  <c r="Q139" i="14"/>
  <c r="Q462" i="14"/>
  <c r="Q273" i="14"/>
  <c r="Q403" i="14"/>
  <c r="Q247" i="14"/>
  <c r="Q473" i="14"/>
  <c r="Q143" i="14"/>
  <c r="Q80" i="14"/>
  <c r="Q129" i="14"/>
  <c r="Q385" i="14"/>
  <c r="Q400" i="14"/>
  <c r="Q256" i="14"/>
  <c r="Q29" i="14"/>
  <c r="Q55" i="14"/>
  <c r="Q164" i="14"/>
  <c r="Q401" i="14"/>
  <c r="Q423" i="14"/>
  <c r="Q268" i="14"/>
  <c r="Q23" i="14"/>
  <c r="Q57" i="14"/>
  <c r="Q284" i="14"/>
  <c r="Q196" i="14"/>
  <c r="Q306" i="14"/>
  <c r="Q204" i="14"/>
  <c r="Q378" i="14"/>
  <c r="Q392" i="14"/>
  <c r="Q252" i="14"/>
  <c r="Q441" i="14"/>
  <c r="Q37" i="14"/>
  <c r="Q125" i="14"/>
  <c r="Q395" i="14"/>
  <c r="Q417" i="14"/>
  <c r="Q264" i="14"/>
  <c r="Q289" i="14"/>
  <c r="Q326" i="14"/>
  <c r="Q165" i="14"/>
  <c r="Q394" i="14"/>
  <c r="Q35" i="14"/>
  <c r="Q176" i="14"/>
  <c r="Q72" i="14"/>
  <c r="Q208" i="14"/>
  <c r="Q412" i="14"/>
  <c r="Q431" i="14"/>
  <c r="Q276" i="14"/>
  <c r="Q154" i="14"/>
  <c r="Q195" i="14"/>
  <c r="Q41" i="14"/>
  <c r="Q92" i="14"/>
  <c r="Q150" i="14"/>
  <c r="Q410" i="14"/>
  <c r="Q429" i="14"/>
  <c r="Q274" i="14"/>
  <c r="Q215" i="14"/>
  <c r="Q387" i="14"/>
  <c r="Q28" i="14"/>
  <c r="Q398" i="14"/>
  <c r="Q338" i="14"/>
  <c r="Q184" i="14"/>
  <c r="Q428" i="14"/>
  <c r="Q137" i="14"/>
  <c r="Q312" i="14"/>
  <c r="Q322" i="14"/>
  <c r="Q316" i="14"/>
  <c r="Q49" i="14"/>
  <c r="Q96" i="14"/>
  <c r="Q175" i="14"/>
  <c r="Q362" i="14"/>
  <c r="Q379" i="14"/>
  <c r="Q246" i="14"/>
  <c r="Q324" i="14"/>
  <c r="Q75" i="14"/>
  <c r="Q194" i="14"/>
  <c r="Q383" i="14"/>
  <c r="Q396" i="14"/>
  <c r="Q255" i="14"/>
  <c r="Q70" i="14"/>
  <c r="Q54" i="14"/>
  <c r="Q267" i="14"/>
  <c r="Q188" i="14"/>
  <c r="Q421" i="14"/>
  <c r="Q163" i="14"/>
  <c r="Q356" i="14"/>
  <c r="Q373" i="14"/>
  <c r="Q243" i="14"/>
  <c r="Q407" i="14"/>
  <c r="Q77" i="14"/>
  <c r="Q206" i="14"/>
  <c r="Q374" i="14"/>
  <c r="Q390" i="14"/>
  <c r="Q251" i="14"/>
  <c r="Q114" i="14"/>
  <c r="Q349" i="14"/>
  <c r="Q27" i="14"/>
  <c r="Q336" i="14"/>
  <c r="Q85" i="14"/>
  <c r="Q33" i="14"/>
  <c r="Q90" i="14"/>
  <c r="Q142" i="14"/>
  <c r="Q391" i="14"/>
  <c r="Q411" i="14"/>
  <c r="Q263" i="14"/>
  <c r="Q66" i="14"/>
  <c r="Q104" i="14"/>
  <c r="Q43" i="14"/>
  <c r="Q118" i="14"/>
  <c r="Q171" i="14"/>
  <c r="Q389" i="14"/>
  <c r="Q406" i="14"/>
  <c r="Q261" i="14"/>
  <c r="Q254" i="14"/>
  <c r="Q427" i="14"/>
  <c r="Q146" i="14"/>
  <c r="Q212" i="14"/>
  <c r="Q442" i="14"/>
  <c r="Q189" i="14"/>
  <c r="Q47" i="14"/>
  <c r="Q93" i="14"/>
  <c r="Q76" i="14"/>
  <c r="Q329" i="14"/>
  <c r="Q382" i="14"/>
  <c r="Q51" i="14"/>
  <c r="Q155" i="14"/>
  <c r="Q191" i="14"/>
  <c r="Q345" i="14"/>
  <c r="Q363" i="14"/>
  <c r="Q237" i="14"/>
  <c r="Q83" i="14"/>
  <c r="Q105" i="14"/>
  <c r="Q145" i="14"/>
  <c r="Q360" i="14"/>
  <c r="Q377" i="14"/>
  <c r="Q245" i="14"/>
  <c r="Q260" i="14"/>
  <c r="Q161" i="14"/>
  <c r="Q244" i="14"/>
  <c r="Q370" i="14"/>
  <c r="Q357" i="14"/>
  <c r="Q181" i="14"/>
  <c r="Q333" i="14"/>
  <c r="Q355" i="14"/>
  <c r="Q231" i="14"/>
  <c r="Q454" i="14"/>
  <c r="Q102" i="14"/>
  <c r="Q167" i="14"/>
  <c r="Q354" i="14"/>
  <c r="Q371" i="14"/>
  <c r="Q242" i="14"/>
  <c r="Q282" i="14"/>
  <c r="Q68" i="14"/>
  <c r="Q84" i="14"/>
  <c r="Q219" i="14"/>
  <c r="Q111" i="14"/>
  <c r="Q39" i="14"/>
  <c r="Q116" i="14"/>
  <c r="Q169" i="14"/>
  <c r="Q372" i="14"/>
  <c r="Q386" i="14"/>
  <c r="Q250" i="14"/>
  <c r="Q314" i="14"/>
  <c r="Q107" i="14"/>
  <c r="Q65" i="14"/>
  <c r="Q136" i="14"/>
  <c r="Q187" i="14"/>
  <c r="Q368" i="14"/>
  <c r="Q384" i="14"/>
  <c r="Q249" i="14"/>
  <c r="Q157" i="14"/>
  <c r="Q25" i="16" a="1"/>
  <c r="Q25" i="16" s="1"/>
  <c r="Q450" i="14"/>
  <c r="Q293" i="14"/>
  <c r="Q408" i="14"/>
  <c r="Q351" i="14"/>
  <c r="Q325" i="14"/>
  <c r="Q158" i="14"/>
  <c r="Q457" i="14"/>
  <c r="Q117" i="14"/>
  <c r="Q334" i="14"/>
  <c r="Q376" i="14"/>
  <c r="Q103" i="14"/>
  <c r="Q122" i="14"/>
  <c r="Q469" i="14"/>
  <c r="Q291" i="14"/>
  <c r="Q323" i="14"/>
  <c r="Q432" i="14"/>
  <c r="Q89" i="14"/>
  <c r="Q52" i="14"/>
  <c r="Q197" i="14"/>
  <c r="Q308" i="14"/>
  <c r="Q340" i="14"/>
  <c r="Q223" i="14"/>
  <c r="Q42" i="14"/>
  <c r="Q358" i="14"/>
  <c r="Q456" i="14"/>
  <c r="Q153" i="14"/>
  <c r="Q81" i="14"/>
  <c r="Q461" i="14"/>
  <c r="Q277" i="14"/>
  <c r="Q315" i="14"/>
  <c r="Q434" i="14"/>
  <c r="Q132" i="14"/>
  <c r="Q399" i="14"/>
  <c r="Q203" i="14"/>
  <c r="Q302" i="14"/>
  <c r="Q330" i="14"/>
  <c r="Q22" i="14"/>
  <c r="Q64" i="14"/>
  <c r="Q67" i="14"/>
  <c r="Q443" i="14"/>
  <c r="Q59" i="14"/>
  <c r="Q58" i="14"/>
  <c r="Q91" i="14"/>
  <c r="Q127" i="14"/>
  <c r="Q205" i="14"/>
  <c r="Q320" i="14"/>
  <c r="Q347" i="14"/>
  <c r="Q228" i="14"/>
  <c r="Q279" i="14"/>
  <c r="Q138" i="14"/>
  <c r="Q115" i="14"/>
  <c r="Q144" i="14"/>
  <c r="Q140" i="14"/>
  <c r="Q318" i="14"/>
  <c r="Q346" i="14"/>
  <c r="Q227" i="14"/>
  <c r="Q151" i="14"/>
  <c r="Q344" i="14"/>
  <c r="Q448" i="14"/>
  <c r="Q467" i="14"/>
  <c r="Q226" i="14"/>
  <c r="Q213" i="14"/>
  <c r="Q415" i="14"/>
  <c r="Q149" i="14"/>
  <c r="Q381" i="14"/>
  <c r="Q317" i="14"/>
  <c r="Q119" i="14"/>
  <c r="Q162" i="14"/>
  <c r="Q449" i="14"/>
  <c r="Q470" i="14"/>
  <c r="Q303" i="14"/>
  <c r="Q402" i="14"/>
  <c r="Q232" i="14"/>
  <c r="Q82" i="14"/>
  <c r="Q465" i="14"/>
  <c r="Q285" i="14"/>
  <c r="Q321" i="14"/>
  <c r="Q474" i="14"/>
  <c r="Q40" i="14"/>
  <c r="Q466" i="14"/>
  <c r="Q281" i="14"/>
  <c r="Q207" i="14"/>
  <c r="Q36" i="14"/>
  <c r="Q439" i="14"/>
  <c r="Q464" i="14"/>
  <c r="Q297" i="14"/>
  <c r="Q305" i="14"/>
  <c r="Q234" i="14"/>
  <c r="Q253" i="14"/>
  <c r="Q459" i="14"/>
  <c r="Q270" i="14"/>
  <c r="Q313" i="14"/>
  <c r="Q97" i="14"/>
  <c r="Q337" i="14"/>
  <c r="Q217" i="14"/>
  <c r="Q380" i="14"/>
  <c r="Q109" i="14"/>
  <c r="Q110" i="14"/>
  <c r="Q113" i="14"/>
  <c r="Q128" i="14"/>
  <c r="Q124" i="14"/>
  <c r="Q298" i="14"/>
  <c r="Q328" i="14"/>
  <c r="Q202" i="14"/>
  <c r="Q262" i="14"/>
  <c r="Q200" i="14"/>
  <c r="Q26" i="14"/>
  <c r="Q141" i="14"/>
  <c r="Q475" i="14"/>
  <c r="Q295" i="14"/>
  <c r="Q327" i="14"/>
  <c r="Q152" i="14"/>
  <c r="Q290" i="14"/>
  <c r="Q440" i="14"/>
  <c r="Q131" i="14"/>
  <c r="Q235" i="14"/>
  <c r="Q166" i="14"/>
  <c r="Q31" i="14"/>
  <c r="Q98" i="14"/>
  <c r="Q211" i="14"/>
  <c r="Q24" i="16" a="1"/>
  <c r="Q24" i="16" s="1"/>
  <c r="Q23" i="16" a="1"/>
  <c r="Q23" i="16" s="1"/>
  <c r="Q30" i="16" a="1"/>
  <c r="Q30" i="16" s="1"/>
  <c r="Q451" i="14"/>
  <c r="Q257" i="14"/>
  <c r="Q32" i="14"/>
  <c r="Q170" i="14"/>
  <c r="Q183" i="14"/>
  <c r="Q38" i="14"/>
  <c r="Q34" i="14"/>
  <c r="Q173" i="14"/>
  <c r="Q71" i="14"/>
  <c r="Q177" i="14"/>
  <c r="Q299" i="14"/>
  <c r="Q331" i="14"/>
  <c r="Q63" i="14"/>
  <c r="Q95" i="14"/>
  <c r="Q29" i="16" a="1"/>
  <c r="Q29" i="16" s="1"/>
  <c r="Q22" i="16" a="1"/>
  <c r="Q22" i="16" s="1"/>
  <c r="Q172" i="14"/>
  <c r="Q159" i="14"/>
  <c r="Q341" i="14"/>
  <c r="Q201" i="14"/>
  <c r="Q353" i="14"/>
  <c r="Q123" i="14"/>
  <c r="Q130" i="14"/>
  <c r="Q366" i="14"/>
  <c r="Q156" i="14"/>
  <c r="Q359" i="14"/>
  <c r="Q304" i="14"/>
  <c r="Q230" i="14"/>
  <c r="Q185" i="14"/>
  <c r="Q209" i="14"/>
  <c r="Q28" i="16" a="1"/>
  <c r="Q28" i="16" s="1"/>
  <c r="Q27" i="16" a="1"/>
  <c r="Q27" i="16" s="1"/>
  <c r="Q78" i="14"/>
  <c r="Q310" i="14"/>
  <c r="Q236" i="14"/>
  <c r="Q332" i="14"/>
  <c r="Q112" i="14"/>
  <c r="Q352" i="14"/>
  <c r="Q350" i="14"/>
  <c r="Q60" i="14"/>
  <c r="Q342" i="14"/>
  <c r="Q259" i="14"/>
  <c r="Q218" i="14"/>
  <c r="Q271" i="14"/>
  <c r="Q369" i="14"/>
  <c r="Q367" i="14"/>
  <c r="Q31" i="16" a="1"/>
  <c r="Q31" i="16" s="1"/>
  <c r="Q339" i="14"/>
  <c r="Q225" i="14"/>
  <c r="Q463" i="14"/>
  <c r="Q413" i="14"/>
  <c r="Q199" i="14"/>
  <c r="Q241" i="14"/>
  <c r="Q239" i="14"/>
  <c r="Q587" i="16"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s="1"/>
  <c r="P1310" i="14" l="1"/>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l="1"/>
  <c r="J22" i="20" s="1"/>
  <c r="C22" i="20" s="1"/>
  <c r="G19" i="25" s="1"/>
  <c r="J8" i="25" s="1"/>
  <c r="J10" i="25" s="1"/>
  <c r="M31" i="20"/>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tc={DBB32C9E-8120-491E-8525-A6058F91C7F8}</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DBB32C9E-8120-491E-8525-A6058F91C7F8}">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<sst xmlns="http://schemas.openxmlformats.org/spreadsheetml/2006/main" count="3566" uniqueCount="435">
  <si>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</si>
  <si>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</si>
  <si>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</si>
  <si>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</si>
  <si>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</si>
  <si>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</si>
  <si>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</si>
  <si>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</si>
  <si>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</si>
  <si>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</si>
  <si>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</si>
  <si>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</si>
  <si>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</si>
  <si>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</si>
  <si>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</si>
  <si>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</si>
  <si>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</si>
  <si>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</si>
  <si>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</si>
  <si>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</si>
  <si>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</si>
  <si>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</si>
  <si>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</si>
  <si>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</si>
  <si>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</si>
  <si>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</si>
  <si>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</si>
  <si>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</si>
  <si>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</si>
  <si>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</si>
  <si>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</si>
  <si>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</si>
  <si>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</si>
  <si>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</si>
  <si>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</si>
  <si>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</si>
  <si>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</si>
  <si>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</si>
  <si>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</si>
  <si>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</si>
  <si>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</si>
  <si>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</si>
  <si>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</si>
  <si>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</si>
  <si>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</si>
  <si>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</si>
  <si>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</si>
  <si>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</si>
  <si>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</si>
  <si>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</si>
  <si>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</si>
  <si>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</si>
  <si>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</si>
  <si>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</si>
  <si>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</si>
  <si>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</si>
  <si>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</si>
  <si>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</si>
  <si>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</si>
  <si>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</si>
  <si>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</si>
  <si>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</si>
  <si>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</si>
  <si>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</si>
  <si>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</si>
  <si>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</si>
  <si>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</si>
  <si>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</si>
  <si>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</si>
  <si>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</si>
  <si>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</si>
  <si>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</si>
  <si>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</si>
  <si>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</si>
  <si>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</si>
  <si>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</si>
  <si>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</si>
  <si>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</si>
  <si>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</si>
  <si>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</si>
  <si>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</si>
  <si>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</si>
  <si>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</si>
  <si>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</si>
  <si>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</si>
  <si>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</si>
  <si>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</si>
  <si>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</si>
  <si>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</si>
  <si>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</si>
  <si>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</si>
  <si>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</si>
  <si>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</si>
  <si>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</si>
  <si>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</si>
  <si>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</si>
  <si>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</si>
  <si>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</si>
  <si>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</si>
  <si>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</si>
  <si>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</si>
  <si>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</si>
  <si>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</si>
  <si>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</si>
  <si>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</si>
  <si>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</si>
  <si>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</si>
  <si>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</si>
  <si>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</si>
  <si>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</si>
  <si>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</si>
  <si>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</si>
  <si>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</si>
  <si>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</si>
  <si>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</si>
  <si>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</si>
  <si>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</si>
  <si>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</si>
  <si>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</si>
  <si>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</si>
  <si>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</si>
  <si>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</si>
  <si>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</si>
  <si>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</si>
  <si>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</si>
  <si>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</si>
  <si>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</si>
  <si>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</si>
  <si>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</si>
  <si>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</si>
  <si>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</si>
  <si>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</si>
  <si>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</si>
  <si>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</si>
  <si>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</si>
  <si>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</si>
  <si>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</si>
  <si>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</si>
  <si>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</si>
  <si>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</si>
  <si>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</si>
  <si>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</si>
  <si>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</si>
  <si>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</si>
  <si>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</si>
  <si>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</si>
  <si>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</si>
  <si>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</si>
  <si>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</si>
  <si>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</si>
  <si>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</si>
  <si>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</si>
  <si>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</si>
  <si>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</si>
  <si>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</si>
  <si>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</si>
  <si>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</si>
  <si>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</si>
  <si>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</si>
  <si>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</si>
  <si>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</si>
  <si>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</si>
  <si>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</si>
  <si>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</si>
  <si>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</si>
  <si>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</si>
  <si>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</si>
  <si>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</si>
  <si>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</si>
  <si>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</si>
  <si>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</si>
  <si>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</si>
  <si>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</si>
  <si>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</si>
  <si>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</si>
  <si>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</si>
  <si>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</si>
  <si>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</si>
  <si>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</si>
  <si>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</si>
  <si>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</si>
  <si>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</si>
  <si>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</si>
  <si>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</si>
  <si>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</si>
  <si>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</si>
  <si>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</si>
  <si>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</si>
  <si>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</si>
  <si>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</si>
  <si>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</si>
  <si>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</si>
  <si>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</si>
  <si>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</si>
  <si>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</si>
  <si>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</si>
  <si>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</si>
  <si>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</si>
  <si>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</si>
  <si>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</si>
  <si>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</si>
  <si>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</si>
  <si>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</si>
  <si>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</si>
  <si>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</si>
  <si>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</si>
  <si>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</si>
  <si>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</si>
  <si>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</si>
  <si>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</si>
  <si>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</si>
  <si>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</si>
  <si>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</si>
  <si>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</si>
  <si>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</si>
  <si>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</si>
  <si>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</si>
  <si>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</si>
  <si>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</si>
  <si>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</si>
  <si>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</si>
  <si>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</si>
  <si>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</si>
  <si>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</si>
  <si>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</si>
  <si>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</si>
  <si>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</si>
  <si>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</si>
  <si>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</si>
  <si>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</si>
  <si>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</si>
  <si>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</si>
  <si>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</si>
  <si>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</si>
  <si>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</si>
  <si>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</si>
  <si>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</si>
  <si>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</si>
  <si>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</si>
  <si>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</si>
  <si>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</si>
  <si>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</si>
  <si>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</si>
  <si>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</si>
  <si>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</si>
  <si>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</si>
  <si>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</si>
  <si>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</si>
  <si>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</si>
  <si>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</si>
  <si>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</si>
  <si>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</si>
  <si>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</si>
  <si>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</si>
  <si>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</si>
  <si>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</si>
  <si>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</si>
  <si>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</si>
  <si>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</si>
  <si>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</si>
  <si>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</si>
  <si>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</si>
  <si>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</si>
  <si>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</si>
  <si>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</si>
  <si>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</si>
  <si>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</si>
  <si>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</si>
  <si>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</si>
  <si>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</si>
  <si>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</si>
  <si>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</si>
  <si>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</si>
  <si>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</si>
  <si>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</si>
  <si>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</si>
  <si>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</si>
  <si>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</si>
  <si>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</si>
  <si>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W.5</t>
  </si>
  <si>
    <t>Dungog/Chichester</t>
  </si>
  <si>
    <t>Linear Asset in Dungog / Chichester DSP Area - 150mm</t>
  </si>
  <si>
    <t>Linear Asset in Dungog / Chichester DSP Area - 200mm</t>
  </si>
  <si>
    <t>Linear Asset in Dungog / Chichester DSP Area - 375mm</t>
  </si>
  <si>
    <t>MARTINS CREEK 1 RESERVOIR</t>
  </si>
  <si>
    <t>MARTINS CREEK 2 RESERVOIR</t>
  </si>
  <si>
    <t>PATERSON 1 RESERVOIR</t>
  </si>
  <si>
    <t>GLEN OAK 1 WPS</t>
  </si>
  <si>
    <t>Linear Asset in Dungog / Chichester DSP Area - 300mm</t>
  </si>
  <si>
    <t>Linear Asset in Dungog / Chichester DSP Area - 500mm</t>
  </si>
  <si>
    <t>CLARENCETOWN 2 RESERVOIR (HEIGHTS)</t>
  </si>
  <si>
    <t>Linear Asset in Dungog / Chichester DSP Area - 250mm</t>
  </si>
  <si>
    <t>CLARENCETOWN 1 RESERVOIR (MAIN)</t>
  </si>
  <si>
    <t>Dungog / Chichester</t>
  </si>
  <si>
    <t>Metres</t>
  </si>
  <si>
    <t>Asset</t>
  </si>
  <si>
    <t>NELSON PLAINS HLT - VARIOUS WORKS</t>
  </si>
  <si>
    <t>NELSONS PLAINS TANK - SAMPLE TAP</t>
  </si>
  <si>
    <t>NELSON PLAINS H.L.T.-6.1M STAND-STEEL</t>
  </si>
  <si>
    <t>Linear Asset in Dungog / Chichester DSP Area - 450mm</t>
  </si>
  <si>
    <t>BERESFIELD PS - EMM REP 2004/05</t>
  </si>
  <si>
    <t>EAST GRESFORD 1 WPS - PUMPS</t>
  </si>
  <si>
    <t>BERESFIELD WPS PRESSURE RELIEF VALVE</t>
  </si>
  <si>
    <t>GLEN OAK 1 WPS - PIT COVERS</t>
  </si>
  <si>
    <t>BERESFIELD 1 WPS - ELECTRICAL REPS</t>
  </si>
  <si>
    <t>BERESFIELD 1 WPS - EMM 2007-08</t>
  </si>
  <si>
    <t>BERESFIELD 1 WPS - PUMP UNIT 1</t>
  </si>
  <si>
    <t>GLEN OAK 1 WPS - SLAB</t>
  </si>
  <si>
    <t>EAST GRESFORD 1 WPS - ELECTRICAL</t>
  </si>
  <si>
    <t>DUNGOG 2 RES - BURTON ST - AIV VALVE</t>
  </si>
  <si>
    <t>BERESFIELD WPS - ELECT - NULEC CLOSURES</t>
  </si>
  <si>
    <t>EAST GRESFORD 1 WPS - CAD DRAWINGS</t>
  </si>
  <si>
    <t>EAST GRESFORD 1 WPS - SWITCHBOARD</t>
  </si>
  <si>
    <t>GLEN OAK 1 WPS - ELECTRICAL</t>
  </si>
  <si>
    <t>GLEN OAK 1 WPS - SWITCHBOARD COVER</t>
  </si>
  <si>
    <t>GRESFORD 1 WPS - PUMP NOISE REDUCTION</t>
  </si>
  <si>
    <t>GRESFORD 2 WPS - TELEMETRY</t>
  </si>
  <si>
    <t>NELSONS PLAINS RESERVOIR- LEVEL SENSOR</t>
  </si>
  <si>
    <t>GLEN OAK 1 WPS - HIGH VOLTAGE UPGRADE</t>
  </si>
  <si>
    <t>GLEN OAK WPS - FLOWMETER</t>
  </si>
  <si>
    <t>EAST GRESFORD 1 WPS - STEEL FLOOR</t>
  </si>
  <si>
    <t>CLARENCETOWN 1 RESERVOIR - AIV/PRV</t>
  </si>
  <si>
    <t>GLEN OAK 1 WPS - MAGFLOW METER</t>
  </si>
  <si>
    <t>DUNGOG 2 RES - BURTON ST - OFFTAKE MODS</t>
  </si>
  <si>
    <t>BERESFIELD 1 WPS - PLC</t>
  </si>
  <si>
    <t>GRESFORD 1 WPS - ELECTRICAL OTHER</t>
  </si>
  <si>
    <t>GRESFORD 1 WPS - ELECTRICAL SUPPLY</t>
  </si>
  <si>
    <t>GRESFORD 1 WPS - ELECTRICAL SWITCHBOARD</t>
  </si>
  <si>
    <t>GRESFORD 1 WPS - INFILTRATION GALLERY</t>
  </si>
  <si>
    <t>GRESFORD 1 WPS - PUMP 1</t>
  </si>
  <si>
    <t>GRESFORD 1 WPS - PUMP 2</t>
  </si>
  <si>
    <t>GRESFORD 1 WPS - TELEMETRY ITEMS</t>
  </si>
  <si>
    <t>GRESFORD 1 WPS (PATERSON) - ACCESS RD</t>
  </si>
  <si>
    <t>GRESFORD 1 WPS (PATERSON) - CIVIL OTHER</t>
  </si>
  <si>
    <t>GRESFORD 1 WPS (PATERSON) - P/S WELL</t>
  </si>
  <si>
    <t>GRESFORD 1 WPS-WELL INDICATOR &amp; FLOW MTR</t>
  </si>
  <si>
    <t>BERESFIELD 1 WPS - LIGHTING</t>
  </si>
  <si>
    <t>EAST GRESFORD 1 WPS - PUMP 1</t>
  </si>
  <si>
    <t>EAST GRESFORD 1 WPS - PUMP 2</t>
  </si>
  <si>
    <t>EAST GRESFORD 1 WPS - VAR' SPEED DRIVES</t>
  </si>
  <si>
    <t>PATERSON 1 RESERVOIR - AIV INSTALLATION</t>
  </si>
  <si>
    <t>PATERSON 1 RESERVOIR - BOOSTER S'BOARD</t>
  </si>
  <si>
    <t>CLARENCETOWN 1 RESERVOIR ROOF</t>
  </si>
  <si>
    <t>GLEN OAK 1 WPS - EMM ELEC 2013</t>
  </si>
  <si>
    <t>EAST GRESFORD 1 WPS - EMM ELEC 2013</t>
  </si>
  <si>
    <t>CLARENCETOWN 1 RES -  EXT REFIRB 2014</t>
  </si>
  <si>
    <t>CLARENCETOWN 1 RES -  INT REFIRB 2014</t>
  </si>
  <si>
    <t>CLARENCE TOWN WRT - SECURITY FENCE 2014</t>
  </si>
  <si>
    <t>GLEN OAK 1 WPS - EMMS MECH 2014</t>
  </si>
  <si>
    <t>BERESFIELD WPS - 3.3KV  MCC'S PUMPS 1-4</t>
  </si>
  <si>
    <t>BERESFIELD WPS - 3.3KV  SWITCHBOARDS</t>
  </si>
  <si>
    <t>BERESFIELD WPS - 415V LV AUX SWITCHBOARD</t>
  </si>
  <si>
    <t>BERESFIELD WPS - ACCESS RD IMPROVEMENTS</t>
  </si>
  <si>
    <t>BERESFIELD WPS - AUTO TRANSFER SWITCH</t>
  </si>
  <si>
    <t>BERESFIELD WPS - BATTERY CHARGING SYS</t>
  </si>
  <si>
    <t>BERESFIELD WPS - CRANE</t>
  </si>
  <si>
    <t>BERESFIELD WPS - EARTHING GRID</t>
  </si>
  <si>
    <t>BERESFIELD WPS - GENERATOR CONNECT PANEL</t>
  </si>
  <si>
    <t>BERESFIELD WPS - HV AUXILIARY SWITCHES</t>
  </si>
  <si>
    <t>BERESFIELD WPS - HV NEXTG MODEM</t>
  </si>
  <si>
    <t>BERESFIELD WPS - HV NULEC CIRCUIT BREAK</t>
  </si>
  <si>
    <t>BERESFIELD WPS - HV RTU &amp; COMMUNIC</t>
  </si>
  <si>
    <t>BERESFIELD WPS - HV SOFTWARE PUNCH LIST</t>
  </si>
  <si>
    <t>BERESFIELD WPS - HV SURGE ARRESTORS</t>
  </si>
  <si>
    <t>BERESFIELD WPS - HV SWITCHYARD</t>
  </si>
  <si>
    <t>BERESFIELD WPS - LV &amp; ELV CABLING</t>
  </si>
  <si>
    <t>BERESFIELD WPS - PLC/SCADA</t>
  </si>
  <si>
    <t>BERESFIELD WPS - S/Y LIGHTNING PROTECT'N</t>
  </si>
  <si>
    <t>BERESFIELD WPS - SWITCHROOMS</t>
  </si>
  <si>
    <t>BERESFIELD WPS - TXF1 &amp; TXF2 COMPOUND</t>
  </si>
  <si>
    <t>BERESFIELD WPS - TXF1 &amp; TXF2 TRANSFORMER</t>
  </si>
  <si>
    <t>BERESFIELD WPS - TXF3 &amp; TXF4 TRANSFORMER</t>
  </si>
  <si>
    <t>BERESFIELD WPS - TXF5 TRANSFORMER</t>
  </si>
  <si>
    <t>BERESFIELD WPS - UPS SYSTEM</t>
  </si>
  <si>
    <t>BERESFIELD WPS -HV CABLING &amp; CABLING SYS</t>
  </si>
  <si>
    <t>GRESFORD 1 WPS - SCOUR UPGRADE 2015</t>
  </si>
  <si>
    <t>CLARENCETOWN 1 RESERVOIR - EMM ELEC 2015</t>
  </si>
  <si>
    <t>PATERSON 1 RESERVOIR - EMM MECH 2015</t>
  </si>
  <si>
    <t>GLEN OAK 1 WPS - EMM MECH 2015</t>
  </si>
  <si>
    <t>BERESFIELD 1 WPS - EMM MECH 13/14</t>
  </si>
  <si>
    <t>GLEN OAK 1 WPS- EMM MECH 13/14</t>
  </si>
  <si>
    <t>BERESFIELD WPS - COND ASSESSMENT</t>
  </si>
  <si>
    <t>BERESFIELD 1 WPS - ROOF 2015</t>
  </si>
  <si>
    <t>Clarence Town 2 Reservoir Roof</t>
  </si>
  <si>
    <t>Dungog 2 Reservoir Roof Access</t>
  </si>
  <si>
    <t>PATERSON 1 RESERVOIR - EMM MECH 2016</t>
  </si>
  <si>
    <t>BERESFIELD WPS - EMM ELEC REACTIV 2016</t>
  </si>
  <si>
    <t>EAST GRESFORD 1 WPS - EMM VALVES 2016</t>
  </si>
  <si>
    <t>GRESFORD 1 WPS - EMM MECH 2016</t>
  </si>
  <si>
    <t>GLEN OAK 1 WPS - REPLACE PUMP 1</t>
  </si>
  <si>
    <t>CLARENCETOWN 1 RES - EMM ELEC 2015</t>
  </si>
  <si>
    <t>PATERSON 1 RESERVOIR - EMM ELEC 2015</t>
  </si>
  <si>
    <t>EAST GRESFORD 1 WPS - EMM ELEC 2016</t>
  </si>
  <si>
    <t>GLEN OAK 1 WPS - EMM ELEC 2014</t>
  </si>
  <si>
    <t>GLEN OAK 1 WPS - EMM ELEC 2015</t>
  </si>
  <si>
    <t>GLEN OAK 1 WPS - EMM ELEC 2016</t>
  </si>
  <si>
    <t>MARTINS CREEK RESERVOIR - ACCESS HATCHES</t>
  </si>
  <si>
    <t>MARTINS CREEK 2 RES - FLOAT VALVE</t>
  </si>
  <si>
    <t>CLARENCETOWN 1 RES - PRESS' MONITOR</t>
  </si>
  <si>
    <t>GLEN OAK 1 WPS - TELEMETRY</t>
  </si>
  <si>
    <t>EAST GRESFORD 1 WPS - TELEMETRY</t>
  </si>
  <si>
    <t>MARTINS CREEK 1 RES - FALL PROTECTION</t>
  </si>
  <si>
    <t>Black Hill Industrial PRV</t>
  </si>
  <si>
    <t>Checks</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</si>
  <si>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</si>
  <si>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</si>
  <si>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</si>
  <si>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Revenue per ET ($20-21)</t>
  </si>
  <si>
    <t>Operating costs per ET 
($20-21)</t>
  </si>
  <si>
    <t>All areas</t>
  </si>
  <si>
    <t>All areas except W.9</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</si>
  <si>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</si>
  <si>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</si>
  <si>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</si>
  <si>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</si>
  <si>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</si>
  <si>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</si>
  <si>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</si>
  <si>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</si>
  <si>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</si>
  <si>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</si>
  <si>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</si>
  <si>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</si>
  <si>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</si>
  <si>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</si>
  <si>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</si>
  <si>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</si>
  <si>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</si>
  <si>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</si>
  <si>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</si>
  <si>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</si>
  <si>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</si>
  <si>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LHWSP All areas except W.9</t>
  </si>
  <si>
    <t>W.9</t>
  </si>
  <si>
    <t>Dungog Backwash Rising 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</si>
</sst>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 numFmtId="178" formatCode="_(* #,##0.0000_);_(* \(#,##0.0000\);_(* &quot;-&quot;??_);_(@_)"/>
  </numFmts>
  <fonts count="28">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
      <sz val="10"/>
      <color rgb="FFA6A6A6"/>
      <name val="Helvetica-Narrow"/>
      <family val="2"/>
    </font>
    <font>
      <sz val="10"/>
      <name val="Arial"/>
      <family val="2"/>
    </font>
    <font>
      <sz val="10"/>
      <name val="Helvetica-Narrow"/>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3">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style="thin">
        <color rgb="FF969696"/>
      </top>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applyNumberFormat="0" applyProtection="0"/>
    <xf numFmtId="0" fontId="27" fillId="0" borderId="22" applyNumberFormat="0" applyFill="0" applyAlignment="0" applyProtection="0"/>
  </cellStyleXfs>
  <cellXfs count="262">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13" borderId="2" xfId="0" applyFill="1" applyBorder="1" applyAlignment="1">
      <alignment horizontal="center"/>
    </xf>
    <xf numFmtId="3" fontId="1" fillId="4" borderId="5" xfId="6" applyNumberFormat="1" applyBorder="1" applyAlignment="1">
      <protection locked="0"/>
    </xf>
    <xf numFmtId="0" fontId="0" fillId="0" borderId="2" xfId="0" applyBorder="1" applyAlignment="1">
      <alignment horizontal="right"/>
    </xf>
    <xf numFmtId="174" fontId="0" fillId="0" borderId="2" xfId="1" applyNumberFormat="1" applyFont="1" applyBorder="1"/>
    <xf numFmtId="0" fontId="0" fillId="0" borderId="0" xfId="0" quotePrefix="1" applyAlignment="1">
      <alignment horizontal="left" indent="2"/>
    </xf>
    <xf numFmtId="0" fontId="25" fillId="0" borderId="0" xfId="21" quotePrefix="1"/>
    <xf numFmtId="0" fontId="10" fillId="0" borderId="0" xfId="0" applyFont="1" applyAlignment="1">
      <alignment horizontal="center" vertical="center" wrapText="1"/>
    </xf>
    <xf numFmtId="0" fontId="0" fillId="14" borderId="5" xfId="14" applyFont="1" applyFill="1" applyBorder="1" applyAlignment="1">
      <alignment horizontal="center" vertical="center" wrapText="1"/>
    </xf>
    <xf numFmtId="0" fontId="0" fillId="0" borderId="0" xfId="0" applyAlignment="1">
      <alignment vertical="center"/>
    </xf>
    <xf numFmtId="0" fontId="26" fillId="0" borderId="0" xfId="0" applyFont="1"/>
    <xf numFmtId="43" fontId="26" fillId="0" borderId="0" xfId="1" applyFont="1" applyFill="1" applyBorder="1"/>
    <xf numFmtId="43" fontId="1" fillId="0" borderId="0" xfId="22" applyNumberFormat="1" applyFont="1" applyFill="1" applyBorder="1"/>
    <xf numFmtId="178" fontId="1" fillId="0" borderId="0" xfId="1" applyNumberFormat="1" applyFont="1" applyFill="1" applyBorder="1"/>
    <xf numFmtId="43" fontId="1" fillId="0" borderId="0" xfId="1" applyFont="1" applyFill="1" applyBorder="1"/>
    <xf numFmtId="0" fontId="1" fillId="0" borderId="0" xfId="0" applyFont="1"/>
    <xf numFmtId="174" fontId="19" fillId="0" borderId="0" xfId="1" applyNumberFormat="1"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e_SubTotal" xfId="22" xr:uid="{8B507E74-DDA6-4144-9E1E-625A48A61274}"/>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 name="unit" xfId="21" xr:uid="{34A2F4EB-05F4-4BA1-89A3-1A1668A9AE8A}"/>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03:56:22.49" personId="{3961AA53-D10E-4257-AAB6-1710C5A5EC00}" id="{DBB32C9E-8120-491E-8525-A6058F91C7F8}">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cols>
    <col min="1" max="3" width="2.69921875" customWidth="1"/>
    <col min="4" max="4" width="10.09765625" customWidth="1"/>
    <col min="5" max="5" width="139.69921875" customWidth="1"/>
  </cols>
  <sheetData>
    <row r="1" spans="3:9" ht="12" customHeight="1"/>
    <row r="2" spans="3:9" ht="12" customHeight="1">
      <c r="D2" s="2"/>
      <c r="E2" s="2"/>
    </row>
    <row r="3" spans="3:9" ht="20.25" customHeight="1">
      <c r="C3" s="2" t="s">
        <v>195</v>
      </c>
      <c r="D3" s="7"/>
      <c r="E3" s="7"/>
      <c r="F3" s="8"/>
      <c r="G3" s="8"/>
      <c r="H3" s="8"/>
      <c r="I3" s="8"/>
    </row>
    <row r="4" spans="3:9" ht="12" customHeight="1">
      <c r="C4" s="7"/>
      <c r="D4" s="7"/>
      <c r="E4" s="7"/>
      <c r="F4" s="8"/>
      <c r="G4" s="8"/>
      <c r="H4" s="8"/>
      <c r="I4" s="8"/>
    </row>
    <row r="5" spans="3:9">
      <c r="C5" s="6" t="s">
        <v>1</v>
      </c>
      <c r="D5" s="6"/>
      <c r="E5" s="9" t="s">
        <v>77</v>
      </c>
      <c r="F5" s="8"/>
      <c r="G5" s="8"/>
      <c r="I5" s="8"/>
    </row>
    <row r="6" spans="3:9">
      <c r="C6" t="s">
        <v>2</v>
      </c>
      <c r="E6" s="67" t="s">
        <v>78</v>
      </c>
      <c r="F6" s="8"/>
      <c r="G6" s="8"/>
      <c r="I6" s="8"/>
    </row>
    <row r="8" spans="3:9" ht="15.75" customHeight="1">
      <c r="C8" s="7"/>
      <c r="D8" s="7"/>
      <c r="E8" s="7"/>
      <c r="F8" s="8"/>
      <c r="G8" s="8"/>
    </row>
    <row r="10" spans="3:9" ht="14">
      <c r="C10" s="10" t="s">
        <v>3</v>
      </c>
      <c r="D10" s="10"/>
      <c r="E10" s="11"/>
    </row>
    <row r="12" spans="3:9" ht="27" customHeight="1">
      <c r="C12" s="254" t="s">
        <v>205</v>
      </c>
      <c r="D12" s="254"/>
      <c r="E12" s="254"/>
      <c r="F12" s="8"/>
      <c r="G12" s="8"/>
      <c r="I12" s="8"/>
    </row>
    <row r="13" spans="3:9">
      <c r="C13" s="33"/>
      <c r="D13" s="33"/>
      <c r="E13" s="33"/>
      <c r="F13" s="8"/>
      <c r="G13" s="8"/>
      <c r="I13" s="8"/>
    </row>
    <row r="14" spans="3:9" ht="35.5" customHeight="1">
      <c r="C14" s="254" t="s">
        <v>238</v>
      </c>
      <c r="D14" s="254"/>
      <c r="E14" s="254"/>
      <c r="F14" s="8"/>
      <c r="G14" s="8"/>
      <c r="I14" s="8"/>
    </row>
    <row r="15" spans="3:9" ht="15" customHeight="1">
      <c r="C15" s="12"/>
      <c r="D15" s="12"/>
      <c r="E15" s="8"/>
      <c r="F15" s="8"/>
      <c r="G15" s="8"/>
      <c r="I15" s="8"/>
    </row>
    <row r="16" spans="3:9" ht="15" customHeight="1">
      <c r="C16" s="10" t="s">
        <v>210</v>
      </c>
      <c r="D16" s="10"/>
      <c r="E16" s="13"/>
      <c r="F16" s="8"/>
      <c r="G16" s="8"/>
      <c r="I16" s="8"/>
    </row>
    <row r="17" spans="2:9" ht="15" customHeight="1">
      <c r="C17" s="12"/>
      <c r="D17" s="12"/>
      <c r="E17" s="8"/>
      <c r="F17" s="8"/>
      <c r="G17" s="8"/>
      <c r="I17" s="8"/>
    </row>
    <row r="18" spans="2:9" ht="37.5" customHeight="1">
      <c r="C18" s="254"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54"/>
      <c r="E18" s="254"/>
      <c r="F18" s="8"/>
      <c r="G18" s="8"/>
      <c r="I18" s="8"/>
    </row>
    <row r="19" spans="2:9" ht="6" customHeight="1">
      <c r="D19" s="12"/>
      <c r="E19" s="8"/>
      <c r="F19" s="8"/>
      <c r="G19" s="8"/>
      <c r="I19" s="8"/>
    </row>
    <row r="20" spans="2:9" ht="37.5" customHeight="1">
      <c r="B20" s="95"/>
      <c r="C20" s="254"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54"/>
      <c r="E20" s="254"/>
      <c r="F20" s="8"/>
      <c r="G20" s="8"/>
      <c r="I20" s="8"/>
    </row>
    <row r="21" spans="2:9">
      <c r="B21" s="95"/>
      <c r="C21" s="33"/>
      <c r="D21" s="33"/>
      <c r="E21" s="33"/>
      <c r="F21" s="8"/>
      <c r="G21" s="8"/>
      <c r="I21" s="8"/>
    </row>
    <row r="22" spans="2:9" ht="14">
      <c r="B22" s="95"/>
      <c r="C22" s="10" t="s">
        <v>211</v>
      </c>
      <c r="D22" s="10"/>
      <c r="E22" s="13"/>
      <c r="F22" s="8"/>
      <c r="G22" s="8"/>
      <c r="I22" s="8"/>
    </row>
    <row r="23" spans="2:9">
      <c r="D23" s="12"/>
      <c r="E23" s="8"/>
      <c r="F23" s="8"/>
      <c r="G23" s="8"/>
      <c r="I23" s="8"/>
    </row>
    <row r="24" spans="2:9">
      <c r="C24" s="6" t="s">
        <v>215</v>
      </c>
      <c r="D24" s="12"/>
      <c r="E24" s="8"/>
      <c r="F24" s="8"/>
      <c r="G24" s="8"/>
      <c r="I24" s="8"/>
    </row>
    <row r="25" spans="2:9" ht="6" customHeight="1">
      <c r="D25" s="12"/>
      <c r="E25" s="8"/>
      <c r="F25" s="8"/>
      <c r="G25" s="8"/>
      <c r="I25" s="8"/>
    </row>
    <row r="26" spans="2:9" ht="15" customHeight="1">
      <c r="C26" s="255" t="s">
        <v>79</v>
      </c>
      <c r="D26" s="255"/>
      <c r="E26" s="255"/>
      <c r="F26" s="8"/>
      <c r="G26" s="8"/>
      <c r="H26" s="8"/>
      <c r="I26" s="8"/>
    </row>
    <row r="27" spans="2:9" ht="6" customHeight="1">
      <c r="D27" s="12"/>
      <c r="E27" s="8"/>
      <c r="F27" s="8"/>
      <c r="G27" s="8"/>
      <c r="H27" s="8"/>
      <c r="I27" s="8"/>
    </row>
    <row r="28" spans="2:9" ht="15" customHeight="1">
      <c r="C28" s="96" t="s">
        <v>102</v>
      </c>
      <c r="D28" s="68" t="str">
        <f ca="1">MID(CELL("filename",'General inputs'!$A$1),FIND("]",CELL("filename",'General inputs'!$A$1))+1,255)</f>
        <v>General inputs</v>
      </c>
      <c r="E28" s="8"/>
      <c r="F28" s="8"/>
      <c r="G28" s="8"/>
      <c r="H28" s="8"/>
      <c r="I28" s="8"/>
    </row>
    <row r="29" spans="2:9" ht="15" customHeight="1">
      <c r="C29" s="96" t="s">
        <v>102</v>
      </c>
      <c r="D29" s="8" t="str">
        <f ca="1">MID(CELL("filename",'Pre-1996 assets'!$A$1),FIND("]",CELL("filename",'Pre-1996 assets'!$A$1))+1,255)</f>
        <v>Pre-1996 assets</v>
      </c>
      <c r="E29" s="8"/>
      <c r="F29" s="8"/>
      <c r="G29" s="8"/>
      <c r="H29" s="8"/>
      <c r="I29" s="8"/>
    </row>
    <row r="30" spans="2:9" ht="15" customHeight="1">
      <c r="C30" s="96" t="s">
        <v>102</v>
      </c>
      <c r="D30" s="8" t="str">
        <f ca="1">MID(CELL("filename",'Post-1996 commissioned assets'!$A$1),FIND("]",CELL("filename",'Post-1996 commissioned assets'!$A$1))+1,255)</f>
        <v>Post-1996 commissioned assets</v>
      </c>
      <c r="E30" s="8"/>
      <c r="F30" s="8"/>
      <c r="G30" s="8"/>
      <c r="H30" s="8"/>
      <c r="I30" s="8"/>
    </row>
    <row r="31" spans="2:9" ht="15" customHeight="1">
      <c r="C31" s="96" t="s">
        <v>102</v>
      </c>
      <c r="D31" s="8" t="str">
        <f ca="1">MID(CELL("filename",'Uncommissioned assets'!$A$1),FIND("]",CELL("filename",'Uncommissioned assets'!$A$1))+1,255)</f>
        <v>Uncommissioned assets</v>
      </c>
      <c r="E31" s="8"/>
      <c r="F31" s="8"/>
      <c r="G31" s="8"/>
      <c r="H31" s="8"/>
      <c r="I31" s="8"/>
    </row>
    <row r="32" spans="2:9" ht="15" customHeight="1">
      <c r="C32" s="96" t="s">
        <v>102</v>
      </c>
      <c r="D32" s="8" t="str">
        <f ca="1">MID(CELL("filename",'ET inputs'!$A$1),FIND("]",CELL("filename",'ET inputs'!$A$1))+1,255)</f>
        <v>ET inputs</v>
      </c>
      <c r="E32" s="8"/>
      <c r="F32" s="8"/>
      <c r="G32" s="8"/>
      <c r="H32" s="8"/>
      <c r="I32" s="8"/>
    </row>
    <row r="33" spans="3:9" ht="15" customHeight="1">
      <c r="D33" s="8"/>
      <c r="E33" s="8"/>
      <c r="F33" s="8"/>
      <c r="G33" s="8"/>
      <c r="H33" s="8"/>
      <c r="I33" s="8"/>
    </row>
    <row r="34" spans="3:9">
      <c r="C34" s="6" t="s">
        <v>68</v>
      </c>
      <c r="F34" s="8"/>
      <c r="G34" s="8"/>
      <c r="H34" s="8"/>
      <c r="I34" s="8"/>
    </row>
    <row r="35" spans="3:9" ht="6" customHeight="1">
      <c r="C35" s="33"/>
      <c r="D35" s="33"/>
      <c r="E35" s="33"/>
      <c r="F35" s="8"/>
      <c r="G35" s="8"/>
      <c r="H35" s="8"/>
      <c r="I35" s="8"/>
    </row>
    <row r="36" spans="3:9" ht="15" customHeight="1">
      <c r="C36" s="254" t="s">
        <v>103</v>
      </c>
      <c r="D36" s="254"/>
      <c r="E36" s="254"/>
      <c r="F36" s="8"/>
      <c r="G36" s="8"/>
      <c r="H36" s="8"/>
      <c r="I36" s="8"/>
    </row>
    <row r="37" spans="3:9" ht="6" customHeight="1">
      <c r="D37" s="12"/>
      <c r="E37" s="8"/>
      <c r="F37" s="8"/>
      <c r="G37" s="8"/>
      <c r="H37" s="8"/>
      <c r="I37" s="8"/>
    </row>
    <row r="38" spans="3:9" ht="15" customHeight="1">
      <c r="C38" s="97" t="s">
        <v>102</v>
      </c>
      <c r="D38" s="8" t="str">
        <f ca="1">MID(CELL("filename",'Reduction amount'!$A$1),FIND("]",CELL("filename",'Reduction amount'!$A$1))+1,255)</f>
        <v>Reduction amount</v>
      </c>
      <c r="E38" s="8"/>
      <c r="F38" s="8"/>
      <c r="G38" s="8"/>
      <c r="H38" s="8"/>
      <c r="I38" s="8"/>
    </row>
    <row r="39" spans="3:9" ht="6" customHeight="1">
      <c r="D39" s="12"/>
      <c r="E39" s="8"/>
      <c r="F39" s="8"/>
      <c r="G39" s="8"/>
      <c r="H39" s="8"/>
      <c r="I39" s="8"/>
    </row>
    <row r="40" spans="3:9" ht="39" customHeight="1">
      <c r="C40" s="254"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54"/>
      <c r="E40" s="254"/>
      <c r="F40" s="8"/>
      <c r="G40" s="8"/>
      <c r="H40" s="8"/>
      <c r="I40" s="8"/>
    </row>
    <row r="41" spans="3:9" ht="6" customHeight="1">
      <c r="D41" s="8"/>
      <c r="E41" s="8"/>
      <c r="F41" s="8"/>
      <c r="G41" s="8"/>
      <c r="H41" s="8"/>
      <c r="I41" s="8"/>
    </row>
    <row r="42" spans="3:9" ht="15" customHeight="1">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c r="D43" s="12"/>
      <c r="E43" s="8"/>
      <c r="F43" s="8"/>
      <c r="G43" s="8"/>
      <c r="H43" s="8"/>
      <c r="I43" s="8"/>
    </row>
    <row r="44" spans="3:9" ht="15" customHeight="1">
      <c r="C44" s="6" t="s">
        <v>104</v>
      </c>
      <c r="D44" s="8"/>
      <c r="E44" s="8"/>
      <c r="F44" s="8"/>
      <c r="G44" s="8"/>
      <c r="H44" s="8"/>
      <c r="I44" s="8"/>
    </row>
    <row r="45" spans="3:9" ht="6" customHeight="1">
      <c r="C45" s="6"/>
      <c r="D45" s="8"/>
      <c r="E45" s="8"/>
      <c r="F45" s="8"/>
      <c r="G45" s="8"/>
      <c r="H45" s="8"/>
      <c r="I45" s="8"/>
    </row>
    <row r="46" spans="3:9" ht="15" customHeight="1">
      <c r="C46" s="254" t="s">
        <v>105</v>
      </c>
      <c r="D46" s="254"/>
      <c r="E46" s="254"/>
      <c r="F46" s="8"/>
      <c r="G46" s="8"/>
      <c r="H46" s="8"/>
      <c r="I46" s="8"/>
    </row>
    <row r="47" spans="3:9" ht="6" customHeight="1">
      <c r="C47" s="33"/>
      <c r="D47" s="33"/>
      <c r="E47" s="33"/>
      <c r="F47" s="8"/>
      <c r="G47" s="8"/>
      <c r="H47" s="8"/>
      <c r="I47" s="8"/>
    </row>
    <row r="48" spans="3:9" ht="15" customHeight="1">
      <c r="C48" s="97" t="s">
        <v>102</v>
      </c>
      <c r="D48" s="8" t="str">
        <f ca="1">MID(CELL("filename",'Headwork assets'!$A$1),FIND("]",CELL("filename",'Headwork assets'!$A$1))+1,255)</f>
        <v>Headwork assets</v>
      </c>
      <c r="E48" s="8"/>
      <c r="F48" s="8"/>
      <c r="G48" s="8"/>
      <c r="H48" s="8"/>
      <c r="I48" s="8"/>
    </row>
    <row r="49" spans="3:9" ht="6" customHeight="1">
      <c r="C49" s="97"/>
      <c r="D49" s="8"/>
      <c r="E49" s="8"/>
      <c r="F49" s="8"/>
      <c r="G49" s="8"/>
      <c r="H49" s="8"/>
      <c r="I49" s="8"/>
    </row>
    <row r="50" spans="3:9" ht="15" customHeight="1">
      <c r="C50" s="255" t="s">
        <v>106</v>
      </c>
      <c r="D50" s="255"/>
      <c r="E50" s="255"/>
      <c r="F50" s="8"/>
      <c r="G50" s="8"/>
      <c r="H50" s="8"/>
      <c r="I50" s="8"/>
    </row>
    <row r="51" spans="3:9" ht="6" customHeight="1">
      <c r="F51" s="8"/>
      <c r="G51" s="8"/>
      <c r="H51" s="8"/>
      <c r="I51" s="8"/>
    </row>
    <row r="52" spans="3:9" ht="24" customHeight="1">
      <c r="C52" s="254" t="s">
        <v>84</v>
      </c>
      <c r="D52" s="254"/>
      <c r="E52" s="254"/>
      <c r="F52" s="8"/>
      <c r="G52" s="8"/>
      <c r="H52" s="8"/>
      <c r="I52" s="8"/>
    </row>
    <row r="53" spans="3:9" ht="15" customHeight="1">
      <c r="C53" s="33"/>
      <c r="D53" s="33"/>
      <c r="E53" s="33"/>
      <c r="F53" s="8"/>
      <c r="G53" s="8"/>
      <c r="H53" s="8"/>
      <c r="I53" s="8"/>
    </row>
    <row r="54" spans="3:9" ht="15" customHeight="1">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c r="C55" s="33"/>
      <c r="D55" s="33"/>
      <c r="E55" s="33"/>
      <c r="F55" s="8"/>
      <c r="G55" s="8"/>
      <c r="H55" s="8"/>
      <c r="I55" s="8"/>
    </row>
    <row r="56" spans="3:9" ht="15" customHeight="1">
      <c r="C56" s="6" t="s">
        <v>212</v>
      </c>
      <c r="D56" s="8"/>
      <c r="E56" s="8"/>
      <c r="F56" s="8"/>
      <c r="G56" s="8"/>
      <c r="H56" s="8"/>
      <c r="I56" s="8"/>
    </row>
    <row r="57" spans="3:9" ht="6" customHeight="1">
      <c r="C57" s="6"/>
      <c r="D57" s="8"/>
      <c r="E57" s="8"/>
      <c r="F57" s="8"/>
      <c r="G57" s="8"/>
      <c r="H57" s="8"/>
      <c r="I57" s="8"/>
    </row>
    <row r="58" spans="3:9" ht="15" customHeight="1">
      <c r="C58" s="254" t="s">
        <v>213</v>
      </c>
      <c r="D58" s="254"/>
      <c r="E58" s="254"/>
      <c r="F58" s="8"/>
      <c r="G58" s="8"/>
      <c r="H58" s="8"/>
      <c r="I58" s="8"/>
    </row>
    <row r="59" spans="3:9" ht="6" customHeight="1">
      <c r="C59" s="33"/>
      <c r="D59" s="33"/>
      <c r="E59" s="33"/>
      <c r="F59" s="8"/>
      <c r="G59" s="8"/>
      <c r="H59" s="8"/>
      <c r="I59" s="8"/>
    </row>
    <row r="60" spans="3:9" ht="15" customHeight="1">
      <c r="C60" s="97" t="s">
        <v>102</v>
      </c>
      <c r="D60" s="8" t="str">
        <f ca="1">MID(CELL("filename",'Scheme cost allocation'!$A$1),FIND("]",CELL("filename",'Scheme cost allocation'!$A$1))+1,255)</f>
        <v>Scheme cost allocation</v>
      </c>
      <c r="E60" s="8"/>
      <c r="F60" s="8"/>
      <c r="G60" s="8"/>
      <c r="H60" s="8"/>
      <c r="I60" s="8"/>
    </row>
    <row r="61" spans="3:9" ht="6" customHeight="1">
      <c r="C61" s="97"/>
      <c r="D61" s="8"/>
      <c r="E61" s="8"/>
      <c r="F61" s="8"/>
      <c r="G61" s="8"/>
      <c r="H61" s="8"/>
      <c r="I61" s="8"/>
    </row>
    <row r="62" spans="3:9" ht="15" customHeight="1">
      <c r="C62" s="255" t="s">
        <v>214</v>
      </c>
      <c r="D62" s="255"/>
      <c r="E62" s="255"/>
      <c r="F62" s="8"/>
      <c r="G62" s="8"/>
      <c r="H62" s="8"/>
      <c r="I62" s="8"/>
    </row>
    <row r="63" spans="3:9" ht="6" customHeight="1">
      <c r="F63" s="8"/>
      <c r="G63" s="8"/>
      <c r="H63" s="8"/>
      <c r="I63" s="8"/>
    </row>
    <row r="64" spans="3:9" ht="24" customHeight="1">
      <c r="C64" s="254" t="s">
        <v>84</v>
      </c>
      <c r="D64" s="254"/>
      <c r="E64" s="254"/>
      <c r="F64" s="8"/>
      <c r="G64" s="8"/>
      <c r="H64" s="8"/>
      <c r="I64" s="8"/>
    </row>
    <row r="65" spans="3:9" ht="6" customHeight="1">
      <c r="C65" s="33"/>
      <c r="D65" s="33"/>
      <c r="E65" s="33"/>
      <c r="F65" s="8"/>
      <c r="G65" s="8"/>
      <c r="H65" s="8"/>
      <c r="I65" s="8"/>
    </row>
    <row r="66" spans="3:9" ht="15" customHeight="1">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c r="C67" s="33"/>
      <c r="D67" s="33"/>
      <c r="E67" s="33"/>
      <c r="F67" s="8"/>
      <c r="G67" s="8"/>
      <c r="H67" s="8"/>
      <c r="I67" s="8"/>
    </row>
    <row r="68" spans="3:9" ht="15" customHeight="1">
      <c r="C68" s="6" t="s">
        <v>191</v>
      </c>
      <c r="D68" s="6"/>
      <c r="E68" s="98"/>
      <c r="F68" s="8"/>
      <c r="G68" s="8"/>
      <c r="H68" s="8"/>
      <c r="I68" s="8"/>
    </row>
    <row r="69" spans="3:9" ht="6" customHeight="1">
      <c r="C69" s="6"/>
      <c r="D69" s="6"/>
      <c r="E69" s="98"/>
      <c r="F69" s="8"/>
      <c r="G69" s="8"/>
      <c r="H69" s="8"/>
      <c r="I69" s="8"/>
    </row>
    <row r="70" spans="3:9" ht="15" customHeight="1">
      <c r="C70" s="4" t="s">
        <v>192</v>
      </c>
      <c r="D70" s="6"/>
      <c r="E70" s="98"/>
      <c r="F70" s="8"/>
      <c r="G70" s="8"/>
      <c r="H70" s="8"/>
      <c r="I70" s="8"/>
    </row>
    <row r="71" spans="3:9" ht="6" customHeight="1">
      <c r="C71" s="4"/>
      <c r="D71" s="6"/>
      <c r="E71" s="98"/>
      <c r="F71" s="8"/>
      <c r="G71" s="8"/>
      <c r="H71" s="8"/>
      <c r="I71" s="8"/>
    </row>
    <row r="72" spans="3:9">
      <c r="C72" s="97" t="s">
        <v>102</v>
      </c>
      <c r="D72" s="68" t="str">
        <f ca="1">MID(CELL("filename",'MP Calculations'!A8),FIND("]",CELL("filename",'MP Calculations'!A8))+1,255)</f>
        <v>MP Calculations</v>
      </c>
      <c r="E72" s="98"/>
      <c r="F72" s="8"/>
      <c r="G72" s="8"/>
      <c r="H72" s="8"/>
      <c r="I72" s="8"/>
    </row>
    <row r="73" spans="3:9">
      <c r="C73" s="97" t="s">
        <v>102</v>
      </c>
      <c r="D73" s="68" t="str">
        <f ca="1">MID(CELL("filename",'Summary of result'!A11),FIND("]",CELL("filename",'Summary of result'!A11))+1,255)</f>
        <v>Summary of result</v>
      </c>
      <c r="E73" s="98"/>
      <c r="F73" s="8"/>
      <c r="G73" s="8"/>
      <c r="H73" s="8"/>
      <c r="I73" s="8"/>
    </row>
    <row r="74" spans="3:9" ht="6" customHeight="1">
      <c r="C74" s="97"/>
      <c r="D74" s="68"/>
      <c r="E74" s="98"/>
      <c r="F74" s="8"/>
      <c r="G74" s="8"/>
      <c r="H74" s="8"/>
      <c r="I74" s="8"/>
    </row>
    <row r="75" spans="3:9">
      <c r="C75" s="254" t="s">
        <v>196</v>
      </c>
      <c r="D75" s="254"/>
      <c r="E75" s="254"/>
      <c r="F75" s="8"/>
      <c r="G75" s="8"/>
      <c r="H75" s="8"/>
      <c r="I75" s="8"/>
    </row>
    <row r="76" spans="3:9" ht="15" customHeight="1">
      <c r="D76" s="12"/>
      <c r="E76" s="8"/>
      <c r="F76" s="8"/>
      <c r="G76" s="8"/>
      <c r="H76" s="8"/>
      <c r="I76" s="8"/>
    </row>
    <row r="77" spans="3:9" ht="15" customHeight="1">
      <c r="C77" s="6" t="s">
        <v>107</v>
      </c>
      <c r="D77" s="12"/>
      <c r="E77" s="8"/>
      <c r="F77" s="8"/>
      <c r="G77" s="8"/>
      <c r="H77" s="8"/>
      <c r="I77" s="8"/>
    </row>
    <row r="78" spans="3:9" ht="6" customHeight="1">
      <c r="D78" s="12"/>
      <c r="E78" s="8"/>
      <c r="F78" s="8"/>
      <c r="G78" s="8"/>
      <c r="H78" s="8"/>
      <c r="I78" s="8"/>
    </row>
    <row r="79" spans="3:9" ht="15" customHeight="1">
      <c r="C79" s="8" t="s">
        <v>108</v>
      </c>
      <c r="D79" s="12"/>
      <c r="E79" s="8"/>
      <c r="F79" s="8"/>
      <c r="G79" s="8"/>
      <c r="H79" s="8"/>
      <c r="I79" s="8"/>
    </row>
    <row r="80" spans="3:9" ht="6" customHeight="1">
      <c r="C80" s="8"/>
      <c r="D80" s="12"/>
      <c r="E80" s="8"/>
      <c r="F80" s="8"/>
      <c r="G80" s="8"/>
      <c r="H80" s="8"/>
      <c r="I80" s="8"/>
    </row>
    <row r="81" spans="3:9" ht="15" customHeight="1">
      <c r="C81" s="97" t="s">
        <v>102</v>
      </c>
      <c r="D81" s="68" t="str">
        <f ca="1">MID(CELL("filename",'Asset exclusions'!A14),FIND("]",CELL("filename",'Asset exclusions'!A14))+1,255)</f>
        <v>Asset exclusions</v>
      </c>
      <c r="E81" s="8"/>
      <c r="F81" s="8"/>
      <c r="G81" s="8"/>
      <c r="H81" s="8"/>
      <c r="I81" s="8"/>
    </row>
    <row r="82" spans="3:9" ht="15" customHeight="1">
      <c r="C82" s="12"/>
      <c r="D82" s="12"/>
      <c r="E82" s="8"/>
      <c r="F82" s="8"/>
      <c r="G82" s="8"/>
      <c r="H82" s="8"/>
      <c r="I82" s="8"/>
    </row>
    <row r="83" spans="3:9" ht="15" customHeight="1">
      <c r="C83" s="98" t="s">
        <v>193</v>
      </c>
      <c r="D83" s="12"/>
      <c r="E83" s="8"/>
      <c r="F83" s="8"/>
      <c r="G83" s="8"/>
      <c r="H83" s="8"/>
      <c r="I83" s="8"/>
    </row>
    <row r="84" spans="3:9" ht="15" customHeight="1">
      <c r="C84" s="97" t="s">
        <v>102</v>
      </c>
      <c r="D84" s="101" t="s">
        <v>114</v>
      </c>
      <c r="F84" s="8"/>
      <c r="G84" s="8"/>
      <c r="H84" s="8"/>
      <c r="I84" s="8"/>
    </row>
    <row r="85" spans="3:9" ht="15" customHeight="1">
      <c r="C85" s="97" t="s">
        <v>102</v>
      </c>
      <c r="D85" s="156" t="s">
        <v>233</v>
      </c>
      <c r="F85" s="8"/>
      <c r="G85" s="8"/>
      <c r="H85" s="8"/>
      <c r="I85" s="8"/>
    </row>
    <row r="86" spans="3:9" ht="15" customHeight="1">
      <c r="C86" s="97"/>
      <c r="D86" s="156"/>
      <c r="F86" s="8"/>
      <c r="G86" s="8"/>
      <c r="H86" s="8"/>
      <c r="I86" s="8"/>
    </row>
    <row r="87" spans="3:9" ht="15" customHeight="1">
      <c r="C87" s="8" t="s">
        <v>239</v>
      </c>
      <c r="D87" s="156"/>
      <c r="F87" s="8"/>
      <c r="G87" s="8"/>
      <c r="H87" s="8"/>
      <c r="I87" s="8"/>
    </row>
    <row r="88" spans="3:9" ht="15" customHeight="1">
      <c r="C88" s="8"/>
      <c r="D88" s="156"/>
      <c r="F88" s="8"/>
      <c r="G88" s="8"/>
      <c r="H88" s="8"/>
      <c r="I88" s="8"/>
    </row>
    <row r="89" spans="3:9" ht="15" customHeight="1">
      <c r="C89" s="12"/>
      <c r="D89" s="12"/>
      <c r="E89" s="8"/>
      <c r="F89" s="8"/>
      <c r="G89" s="8"/>
      <c r="H89" s="8"/>
      <c r="I89" s="8"/>
    </row>
    <row r="90" spans="3:9" ht="15" customHeight="1">
      <c r="C90" s="10" t="s">
        <v>4</v>
      </c>
      <c r="D90" s="10"/>
      <c r="E90" s="13"/>
      <c r="F90" s="8"/>
      <c r="G90" s="8"/>
      <c r="H90" s="8"/>
      <c r="I90" s="8"/>
    </row>
    <row r="91" spans="3:9" ht="15" customHeight="1">
      <c r="C91" s="4" t="s">
        <v>5</v>
      </c>
      <c r="D91" s="4"/>
      <c r="E91" s="8"/>
      <c r="F91" s="8"/>
      <c r="G91" s="8"/>
      <c r="H91" s="8"/>
      <c r="I91" s="8"/>
    </row>
    <row r="92" spans="3:9" ht="15" customHeight="1">
      <c r="C92" s="14" t="s">
        <v>6</v>
      </c>
      <c r="D92" s="14"/>
      <c r="E92" s="14"/>
      <c r="F92" s="8"/>
      <c r="G92" s="8"/>
      <c r="H92" s="8"/>
      <c r="I92" s="8"/>
    </row>
    <row r="93" spans="3:9" ht="15" customHeight="1">
      <c r="C93" s="3" t="s">
        <v>7</v>
      </c>
      <c r="D93" s="15"/>
      <c r="E93" s="15"/>
      <c r="F93" s="8"/>
      <c r="G93" s="8"/>
      <c r="H93" s="8"/>
      <c r="I93" s="8"/>
    </row>
    <row r="94" spans="3:9" ht="15" customHeight="1">
      <c r="C94" s="4"/>
      <c r="D94" s="4"/>
      <c r="E94" s="4" t="s">
        <v>8</v>
      </c>
      <c r="F94" s="8"/>
      <c r="G94" s="8"/>
      <c r="H94" s="8"/>
      <c r="I94" s="8"/>
    </row>
    <row r="95" spans="3:9" ht="15" customHeight="1">
      <c r="C95" s="91" t="s">
        <v>100</v>
      </c>
      <c r="D95" s="92"/>
      <c r="E95" s="92"/>
      <c r="F95" s="8"/>
      <c r="G95" s="8"/>
      <c r="H95" s="8"/>
      <c r="I95" s="8"/>
    </row>
    <row r="96" spans="3:9" ht="15" customHeight="1">
      <c r="C96" s="16" t="s">
        <v>9</v>
      </c>
      <c r="D96" s="16"/>
      <c r="E96" s="16"/>
      <c r="F96" s="8"/>
      <c r="G96" s="8"/>
      <c r="H96" s="8"/>
      <c r="I96" s="8"/>
    </row>
    <row r="97" spans="3:9" ht="15" customHeight="1">
      <c r="C97" s="17" t="s">
        <v>0</v>
      </c>
      <c r="D97" s="17"/>
      <c r="E97" s="17"/>
      <c r="F97" s="8"/>
      <c r="G97" s="8"/>
      <c r="H97" s="8"/>
      <c r="I97" s="8"/>
    </row>
    <row r="98" spans="3:9" ht="15" customHeight="1">
      <c r="C98" s="18" t="s">
        <v>10</v>
      </c>
      <c r="D98" s="18"/>
      <c r="E98" s="19"/>
      <c r="F98" s="8"/>
      <c r="G98" s="8"/>
      <c r="H98" s="8"/>
      <c r="I98" s="8"/>
    </row>
    <row r="99" spans="3:9" ht="15" customHeight="1">
      <c r="C99" s="20" t="s">
        <v>11</v>
      </c>
      <c r="D99" s="20"/>
      <c r="E99" s="21"/>
      <c r="F99" s="8"/>
      <c r="G99" s="8"/>
      <c r="H99" s="8"/>
      <c r="I99" s="8"/>
    </row>
    <row r="100" spans="3:9" ht="15" customHeight="1">
      <c r="C100" s="22" t="s">
        <v>80</v>
      </c>
      <c r="D100" s="23"/>
      <c r="E100" s="23"/>
      <c r="F100" s="8"/>
      <c r="G100" s="8"/>
      <c r="H100" s="8"/>
      <c r="I100" s="8"/>
    </row>
    <row r="101" spans="3:9" ht="15" customHeight="1">
      <c r="C101" s="12"/>
      <c r="D101" s="12"/>
      <c r="E101" s="8"/>
      <c r="F101" s="8"/>
      <c r="G101" s="8"/>
      <c r="H101" s="8"/>
      <c r="I101" s="8"/>
    </row>
    <row r="102" spans="3:9">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cols>
    <col min="1" max="2" width="2.69921875" customWidth="1"/>
    <col min="3" max="5" width="40.59765625" customWidth="1"/>
    <col min="6" max="6" width="20.59765625" customWidth="1"/>
    <col min="7" max="7" width="17.59765625" customWidth="1"/>
  </cols>
  <sheetData>
    <row r="3" spans="3:7" ht="20.25" customHeight="1">
      <c r="C3" s="2" t="s">
        <v>232</v>
      </c>
    </row>
    <row r="5" spans="3:7">
      <c r="C5" s="6" t="s">
        <v>220</v>
      </c>
      <c r="D5" s="6" t="s">
        <v>221</v>
      </c>
      <c r="E5" s="6" t="s">
        <v>222</v>
      </c>
      <c r="F5" s="6" t="s">
        <v>223</v>
      </c>
      <c r="G5" s="6" t="s">
        <v>228</v>
      </c>
    </row>
    <row r="6" spans="3:7" ht="34.5">
      <c r="C6" s="152" t="s">
        <v>224</v>
      </c>
      <c r="D6" s="152" t="s">
        <v>229</v>
      </c>
      <c r="E6" s="152" t="s">
        <v>225</v>
      </c>
      <c r="F6" s="153" t="s">
        <v>226</v>
      </c>
      <c r="G6" s="154">
        <v>43678</v>
      </c>
    </row>
    <row r="7" spans="3:7" ht="23">
      <c r="C7" s="152" t="s">
        <v>224</v>
      </c>
      <c r="D7" s="152" t="s">
        <v>230</v>
      </c>
      <c r="E7" s="152" t="s">
        <v>227</v>
      </c>
      <c r="F7" s="153" t="s">
        <v>226</v>
      </c>
      <c r="G7" s="154">
        <v>43678</v>
      </c>
    </row>
    <row r="8" spans="3:7" ht="46">
      <c r="C8" s="152" t="s">
        <v>235</v>
      </c>
      <c r="D8" s="152" t="s">
        <v>231</v>
      </c>
      <c r="E8" s="152" t="s">
        <v>267</v>
      </c>
      <c r="F8" s="153" t="s">
        <v>226</v>
      </c>
      <c r="G8" s="154">
        <v>43678</v>
      </c>
    </row>
    <row r="9" spans="3:7" ht="34.5">
      <c r="C9" s="152" t="s">
        <v>269</v>
      </c>
      <c r="D9" s="152" t="s">
        <v>270</v>
      </c>
      <c r="E9" s="152" t="s">
        <v>271</v>
      </c>
      <c r="F9" s="153" t="s">
        <v>272</v>
      </c>
      <c r="G9" s="154">
        <v>44805</v>
      </c>
    </row>
    <row r="10" spans="3:7">
      <c r="C10" s="152"/>
      <c r="D10" s="152"/>
      <c r="E10" s="152"/>
      <c r="F10" s="153"/>
      <c r="G10" s="154"/>
    </row>
    <row r="11" spans="3:7">
      <c r="C11" s="152"/>
      <c r="D11" s="152"/>
      <c r="E11" s="152"/>
      <c r="F11" s="153"/>
      <c r="G11" s="154"/>
    </row>
    <row r="12" spans="3:7">
      <c r="C12" s="152"/>
      <c r="D12" s="152"/>
      <c r="E12" s="152"/>
      <c r="F12" s="153"/>
      <c r="G12" s="154"/>
    </row>
    <row r="13" spans="3:7">
      <c r="C13" s="152"/>
      <c r="D13" s="152"/>
      <c r="E13" s="152"/>
      <c r="F13" s="153"/>
      <c r="G13" s="154"/>
    </row>
    <row r="14" spans="3:7">
      <c r="C14" s="152"/>
      <c r="D14" s="152"/>
      <c r="E14" s="152"/>
      <c r="F14" s="153"/>
      <c r="G14" s="154"/>
    </row>
    <row r="15" spans="3:7">
      <c r="C15" s="152"/>
      <c r="D15" s="152"/>
      <c r="E15" s="152"/>
      <c r="F15" s="153"/>
      <c r="G15" s="154"/>
    </row>
    <row r="16" spans="3:7">
      <c r="C16" s="152"/>
      <c r="D16" s="152"/>
      <c r="E16" s="152"/>
      <c r="F16" s="153"/>
      <c r="G16" s="154"/>
    </row>
    <row r="17" spans="3:7">
      <c r="C17" s="152"/>
      <c r="D17" s="152"/>
      <c r="E17" s="152"/>
      <c r="F17" s="153"/>
      <c r="G17" s="154"/>
    </row>
    <row r="18" spans="3:7">
      <c r="C18" s="152"/>
      <c r="D18" s="152"/>
      <c r="E18" s="152"/>
      <c r="F18" s="153"/>
      <c r="G18" s="154"/>
    </row>
    <row r="19" spans="3:7">
      <c r="C19" s="152"/>
      <c r="D19" s="152"/>
      <c r="E19" s="152"/>
      <c r="F19" s="153"/>
      <c r="G19" s="154"/>
    </row>
    <row r="20" spans="3:7">
      <c r="C20" s="152"/>
      <c r="D20" s="152"/>
      <c r="E20" s="152"/>
      <c r="F20" s="153"/>
      <c r="G20" s="154"/>
    </row>
    <row r="21" spans="3:7">
      <c r="C21" s="152"/>
      <c r="D21" s="152"/>
      <c r="E21" s="152"/>
      <c r="F21" s="153"/>
      <c r="G21" s="154"/>
    </row>
    <row r="22" spans="3:7">
      <c r="C22" s="152"/>
      <c r="D22" s="152"/>
      <c r="E22" s="152"/>
      <c r="F22" s="153"/>
      <c r="G22" s="154"/>
    </row>
    <row r="23" spans="3:7">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P14" sqref="P14"/>
    </sheetView>
  </sheetViews>
  <sheetFormatPr defaultRowHeight="11.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c r="C3" s="145" t="s">
        <v>189</v>
      </c>
    </row>
    <row r="5" spans="1:17">
      <c r="D5" t="s">
        <v>240</v>
      </c>
      <c r="Q5" s="155" t="s">
        <v>268</v>
      </c>
    </row>
    <row r="6" spans="1:17">
      <c r="Q6" s="156"/>
    </row>
    <row r="8" spans="1:17">
      <c r="D8" s="1" t="str">
        <f>"The maximum price for the new development area '"&amp;'General inputs'!H7&amp;"' is:"</f>
        <v>The maximum price for the new development area 'Dungog/Chichester' is:</v>
      </c>
      <c r="J8" s="64">
        <f>G19</f>
        <v>2200.0987728176556</v>
      </c>
      <c r="K8" t="str">
        <f>"per ET ($"&amp;'General inputs'!$I$40&amp;")."</f>
        <v>per ET ($2020-21).</v>
      </c>
    </row>
    <row r="10" spans="1:17">
      <c r="A10" s="89"/>
      <c r="B10" s="89"/>
      <c r="C10" s="1"/>
      <c r="D10" s="90" t="s">
        <v>101</v>
      </c>
      <c r="E10" s="1"/>
      <c r="F10" s="1"/>
      <c r="G10" s="1"/>
      <c r="H10" s="1"/>
      <c r="J10" s="135">
        <f>IF($J$8&lt;=0,0,IF('General inputs'!$H$42='General inputs'!$L$37,'MP Calculations'!F22,IF('General inputs'!$H$42='General inputs'!$L$38,'MP Calculations'!F22*1000,'MP Calculations'!F22*1000000)))</f>
        <v>3128.9201623244808</v>
      </c>
      <c r="K10" s="1" t="s">
        <v>87</v>
      </c>
      <c r="L10" s="1"/>
      <c r="M10" s="1"/>
    </row>
    <row r="12" spans="1:17">
      <c r="G12" s="1"/>
    </row>
    <row r="13" spans="1:17">
      <c r="D13" s="90" t="s">
        <v>190</v>
      </c>
      <c r="G13" s="1"/>
    </row>
    <row r="14" spans="1:17">
      <c r="G14" s="1"/>
    </row>
    <row r="15" spans="1:17">
      <c r="G15" s="1"/>
    </row>
    <row r="17" spans="4:21">
      <c r="D17" t="str">
        <f>"in $, $"&amp;'General inputs'!$I$40&amp;", where:"</f>
        <v>in $, $2020-21, where:</v>
      </c>
    </row>
    <row r="19" spans="4:21">
      <c r="E19" t="s">
        <v>206</v>
      </c>
      <c r="F19" s="30" t="s">
        <v>66</v>
      </c>
      <c r="G19" s="100">
        <f>IF('General inputs'!$H$42='General inputs'!$L$37,'MP Calculations'!C22,IF('General inputs'!$H$42='General inputs'!$L$38,'MP Calculations'!C22*1000,'MP Calculations'!C22*1000000))</f>
        <v>2200.0987728176556</v>
      </c>
      <c r="H19" s="30" t="s">
        <v>66</v>
      </c>
      <c r="I19" s="148" t="s">
        <v>241</v>
      </c>
      <c r="J19" s="1"/>
      <c r="K19" s="1"/>
      <c r="L19" s="1"/>
      <c r="M19" s="1"/>
      <c r="N19" s="1"/>
      <c r="O19" s="1"/>
      <c r="P19" s="1"/>
      <c r="Q19" s="1"/>
      <c r="R19" s="1"/>
      <c r="S19" s="1"/>
      <c r="T19" s="1"/>
      <c r="U19" s="1"/>
    </row>
    <row r="20" spans="4:21" ht="13.5">
      <c r="E20" t="s">
        <v>70</v>
      </c>
      <c r="F20" s="30" t="s">
        <v>66</v>
      </c>
      <c r="G20" s="100">
        <f>IF('General inputs'!$H$42='General inputs'!$L$37,'MP Calculations'!H20,IF('General inputs'!$H$42='General inputs'!$L$38,'MP Calculations'!H20*1000,'MP Calculations'!H20*1000000))</f>
        <v>6448400.1772441771</v>
      </c>
      <c r="H20" s="30" t="s">
        <v>66</v>
      </c>
      <c r="I20" s="1" t="s">
        <v>169</v>
      </c>
      <c r="J20" s="1"/>
      <c r="K20" s="1"/>
      <c r="L20" s="1"/>
      <c r="M20" s="1"/>
      <c r="N20" s="1"/>
      <c r="O20" s="1"/>
      <c r="P20" s="1"/>
      <c r="Q20" s="1"/>
      <c r="R20" s="1"/>
      <c r="S20" s="1"/>
      <c r="T20" s="1"/>
      <c r="U20" s="1"/>
    </row>
    <row r="21" spans="4:21" ht="13.5">
      <c r="E21" t="s">
        <v>71</v>
      </c>
      <c r="F21" s="30" t="s">
        <v>66</v>
      </c>
      <c r="G21" s="100">
        <f>IF('General inputs'!$H$42='General inputs'!$L$37,SUM('MP Calculations'!I20:K20),IF('General inputs'!$H$42='General inputs'!$L$38,SUM('MP Calculations'!I20:K20)*1000,SUM('MP Calculations'!I20:K20)*1000000))</f>
        <v>12216688.267340504</v>
      </c>
      <c r="H21" s="30" t="s">
        <v>66</v>
      </c>
      <c r="I21" s="1" t="s">
        <v>170</v>
      </c>
      <c r="J21" s="1"/>
      <c r="K21" s="1"/>
      <c r="L21" s="1"/>
      <c r="M21" s="1"/>
      <c r="N21" s="1"/>
      <c r="O21" s="1"/>
      <c r="P21" s="1"/>
      <c r="Q21" s="1"/>
      <c r="R21" s="1"/>
      <c r="S21" s="1"/>
      <c r="T21" s="1"/>
      <c r="U21" s="1"/>
    </row>
    <row r="22" spans="4:21" ht="13.5">
      <c r="E22" t="s">
        <v>264</v>
      </c>
      <c r="F22" s="30" t="s">
        <v>66</v>
      </c>
      <c r="G22" s="63">
        <f>'MP Calculations'!H21</f>
        <v>7951.3776550371094</v>
      </c>
      <c r="H22" s="30" t="s">
        <v>66</v>
      </c>
      <c r="I22" s="146" t="s">
        <v>171</v>
      </c>
      <c r="J22" s="147"/>
      <c r="K22" s="147"/>
      <c r="L22" s="147"/>
      <c r="M22" s="147"/>
      <c r="N22" s="147"/>
      <c r="O22" s="147"/>
      <c r="P22" s="147"/>
      <c r="Q22" s="147"/>
      <c r="R22" s="147"/>
      <c r="S22" s="147"/>
      <c r="T22" s="147"/>
      <c r="U22" s="147"/>
    </row>
    <row r="23" spans="4:21" ht="13.5">
      <c r="E23" t="s">
        <v>265</v>
      </c>
      <c r="F23" s="30" t="s">
        <v>66</v>
      </c>
      <c r="G23" s="63">
        <f>'MP Calculations'!J21</f>
        <v>8330.1940982579545</v>
      </c>
      <c r="H23" s="30" t="s">
        <v>66</v>
      </c>
      <c r="I23" s="146" t="s">
        <v>172</v>
      </c>
      <c r="J23" s="147"/>
      <c r="K23" s="147"/>
      <c r="L23" s="147"/>
      <c r="M23" s="147"/>
      <c r="N23" s="147"/>
      <c r="O23" s="147"/>
      <c r="P23" s="147"/>
      <c r="Q23" s="147"/>
      <c r="R23" s="147"/>
      <c r="S23" s="147"/>
      <c r="T23" s="147"/>
      <c r="U23" s="147"/>
    </row>
    <row r="24" spans="4:21" ht="13.5">
      <c r="E24" t="s">
        <v>266</v>
      </c>
      <c r="F24" s="30" t="s">
        <v>66</v>
      </c>
      <c r="G24" s="63">
        <f>'MP Calculations'!L21</f>
        <v>2939.8458991172479</v>
      </c>
      <c r="H24" s="30" t="s">
        <v>66</v>
      </c>
      <c r="I24" s="146" t="s">
        <v>173</v>
      </c>
      <c r="J24" s="147"/>
      <c r="K24" s="147"/>
      <c r="L24" s="147"/>
      <c r="M24" s="147"/>
      <c r="N24" s="147"/>
      <c r="O24" s="147"/>
      <c r="P24" s="147"/>
      <c r="Q24" s="147"/>
      <c r="R24" s="147"/>
      <c r="S24" s="147"/>
      <c r="T24" s="147"/>
      <c r="U24" s="147"/>
    </row>
    <row r="25" spans="4:21" ht="13.5">
      <c r="E25" t="s">
        <v>72</v>
      </c>
      <c r="F25" s="30" t="s">
        <v>66</v>
      </c>
      <c r="G25" s="100">
        <f>'MP Calculations'!R30</f>
        <v>16953347.53287914</v>
      </c>
      <c r="H25" s="30" t="s">
        <v>66</v>
      </c>
      <c r="I25" s="1" t="s">
        <v>174</v>
      </c>
      <c r="J25" s="1"/>
      <c r="K25" s="1"/>
      <c r="L25" s="1"/>
      <c r="M25" s="1"/>
      <c r="N25" s="1"/>
      <c r="O25" s="1"/>
      <c r="P25" s="1"/>
      <c r="Q25" s="1"/>
      <c r="R25" s="1"/>
      <c r="S25" s="1"/>
      <c r="T25" s="1"/>
      <c r="U25" s="1"/>
    </row>
    <row r="26" spans="4:21" ht="13.5">
      <c r="E26" t="s">
        <v>73</v>
      </c>
      <c r="F26" s="30" t="s">
        <v>66</v>
      </c>
      <c r="G26" s="100">
        <f>'MP Calculations'!U30</f>
        <v>7527156.6721593998</v>
      </c>
      <c r="H26" s="30" t="s">
        <v>66</v>
      </c>
      <c r="I26" s="1" t="s">
        <v>175</v>
      </c>
      <c r="J26" s="1"/>
      <c r="K26" s="1"/>
      <c r="L26" s="1"/>
      <c r="M26" s="1"/>
      <c r="N26" s="1"/>
      <c r="O26" s="1"/>
      <c r="P26" s="1"/>
      <c r="Q26" s="1"/>
      <c r="R26" s="1"/>
      <c r="S26" s="1"/>
      <c r="T26" s="1"/>
      <c r="U26" s="1"/>
    </row>
    <row r="27" spans="4:21">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F22" sqref="F22"/>
    </sheetView>
  </sheetViews>
  <sheetFormatPr defaultRowHeight="11.5"/>
  <cols>
    <col min="1" max="2" width="2.699218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c r="A1" t="s">
        <v>61</v>
      </c>
    </row>
    <row r="3" spans="1:11" ht="20">
      <c r="C3" s="50" t="s">
        <v>199</v>
      </c>
    </row>
    <row r="6" spans="1:11" ht="15.5">
      <c r="C6" s="2" t="s">
        <v>34</v>
      </c>
      <c r="E6" s="35"/>
    </row>
    <row r="7" spans="1:11">
      <c r="B7" s="44"/>
      <c r="C7" s="34"/>
      <c r="D7" s="34"/>
      <c r="E7" s="34"/>
      <c r="F7" s="34"/>
      <c r="G7" s="34"/>
      <c r="H7" s="34"/>
      <c r="I7" s="34"/>
      <c r="J7" s="34"/>
      <c r="K7" s="45"/>
    </row>
    <row r="8" spans="1:11">
      <c r="B8" s="46"/>
      <c r="J8" s="26" t="s">
        <v>35</v>
      </c>
      <c r="K8" s="47"/>
    </row>
    <row r="9" spans="1:11">
      <c r="A9" s="52">
        <v>1</v>
      </c>
      <c r="B9" s="46"/>
      <c r="C9" t="str">
        <f>"Table "&amp;A9&amp;":  Calculation of maximum price ("&amp;'General inputs'!H42&amp;", $"&amp;'General inputs'!I40&amp;")"</f>
        <v>Table 1:  Calculation of maximum price ($, $2020-21)</v>
      </c>
      <c r="J9">
        <f>ROW(C17)</f>
        <v>17</v>
      </c>
      <c r="K9" s="47"/>
    </row>
    <row r="10" spans="1:11">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c r="A11" s="70">
        <f>A10+1</f>
        <v>3</v>
      </c>
      <c r="B11" s="46"/>
      <c r="C11" t="str">
        <f>"Table "&amp;A11&amp;":  Annual calculation over analysis horizon ("&amp;'General inputs'!H42&amp;", $"&amp;'General inputs'!I40&amp;")"</f>
        <v>Table 3:  Annual calculation over analysis horizon ($, $2020-21)</v>
      </c>
      <c r="J11">
        <f>ROW(C36)</f>
        <v>36</v>
      </c>
      <c r="K11" s="47"/>
    </row>
    <row r="12" spans="1:11">
      <c r="B12" s="48"/>
      <c r="C12" s="35"/>
      <c r="D12" s="35"/>
      <c r="E12" s="35"/>
      <c r="F12" s="35"/>
      <c r="G12" s="35"/>
      <c r="H12" s="35"/>
      <c r="I12" s="35"/>
      <c r="J12" s="35"/>
      <c r="K12" s="49"/>
    </row>
    <row r="13" spans="1:11">
      <c r="E13" s="34"/>
    </row>
    <row r="14" spans="1:11">
      <c r="B14" s="104" t="str">
        <f>"Note:  an input is required in "&amp;ADDRESS(ROW($G$22),COLUMN($G$22))&amp;" to incorporate the Headwork costs per ET into the maximum price."</f>
        <v>Note:  an input is required in $G$22 to incorporate the Headwork costs per ET into the maximum price.</v>
      </c>
    </row>
    <row r="15" spans="1:11">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c r="C17" s="69" t="str">
        <f>C9</f>
        <v>Table 1:  Calculation of maximum price ($, $2020-21)</v>
      </c>
      <c r="E17" s="35"/>
    </row>
    <row r="18" spans="2:22">
      <c r="B18" s="44"/>
      <c r="C18" s="113"/>
      <c r="D18" s="102"/>
      <c r="E18" s="102"/>
      <c r="F18" s="113"/>
      <c r="G18" s="113"/>
      <c r="H18" s="113"/>
      <c r="I18" s="102"/>
      <c r="J18" s="113"/>
      <c r="K18" s="113"/>
      <c r="L18" s="34"/>
      <c r="M18" s="45"/>
    </row>
    <row r="19" spans="2:22" ht="46">
      <c r="B19" s="46"/>
      <c r="C19" s="40" t="s">
        <v>200</v>
      </c>
      <c r="F19" s="120" t="s">
        <v>148</v>
      </c>
      <c r="G19" s="120" t="s">
        <v>218</v>
      </c>
      <c r="H19" s="119" t="s">
        <v>132</v>
      </c>
      <c r="I19" s="121"/>
      <c r="J19" s="119" t="s">
        <v>133</v>
      </c>
      <c r="K19" s="119" t="s">
        <v>134</v>
      </c>
      <c r="L19" s="119" t="s">
        <v>150</v>
      </c>
      <c r="M19" s="47"/>
    </row>
    <row r="20" spans="2:22">
      <c r="B20" s="46"/>
      <c r="E20" s="6" t="s">
        <v>147</v>
      </c>
      <c r="H20" s="122">
        <f>K30</f>
        <v>6448400.1772441771</v>
      </c>
      <c r="I20" s="124"/>
      <c r="J20" s="125">
        <f>M30</f>
        <v>10944297.868973862</v>
      </c>
      <c r="K20" s="125">
        <f>O30</f>
        <v>1272390.3983666415</v>
      </c>
      <c r="L20" s="122">
        <f>R30-U30</f>
        <v>9426190.8607197404</v>
      </c>
      <c r="M20" s="47"/>
    </row>
    <row r="21" spans="2:22">
      <c r="B21" s="46"/>
      <c r="E21" s="6" t="s">
        <v>21</v>
      </c>
      <c r="F21" s="35"/>
      <c r="H21" s="122">
        <f>F30</f>
        <v>7951.3776550371094</v>
      </c>
      <c r="I21" s="124"/>
      <c r="J21" s="125">
        <f>G30</f>
        <v>8330.1940982579545</v>
      </c>
      <c r="K21" s="125">
        <f>G30</f>
        <v>8330.1940982579545</v>
      </c>
      <c r="L21" s="122">
        <f>H30</f>
        <v>2939.8458991172479</v>
      </c>
      <c r="M21" s="47"/>
    </row>
    <row r="22" spans="2:22" ht="12" customHeight="1">
      <c r="B22" s="46"/>
      <c r="C22" s="253">
        <f>IF(SUM(F22:K22,-L22)&lt;0,0,SUM(F22:K22,-L22))</f>
        <v>2200.0987728176556</v>
      </c>
      <c r="E22" s="6" t="s">
        <v>149</v>
      </c>
      <c r="F22" s="238">
        <v>3128.9201623244808</v>
      </c>
      <c r="G22" s="123"/>
      <c r="H22" s="75">
        <f>H20/H21</f>
        <v>810.97898464918057</v>
      </c>
      <c r="I22" s="127"/>
      <c r="J22" s="126">
        <f>J20/J21</f>
        <v>1313.8106675404574</v>
      </c>
      <c r="K22" s="126">
        <f>K20/K21</f>
        <v>152.74438786879278</v>
      </c>
      <c r="L22" s="75">
        <f>L20/L21</f>
        <v>3206.3554295652561</v>
      </c>
      <c r="M22" s="47"/>
    </row>
    <row r="23" spans="2:22">
      <c r="B23" s="48"/>
      <c r="C23" s="51"/>
      <c r="D23" s="35"/>
      <c r="E23" s="35"/>
      <c r="F23" s="35"/>
      <c r="G23" s="35"/>
      <c r="H23" s="35"/>
      <c r="I23" s="35"/>
      <c r="J23" s="35"/>
      <c r="K23" s="35"/>
      <c r="L23" s="35"/>
      <c r="M23" s="49"/>
    </row>
    <row r="24" spans="2:22">
      <c r="C24" s="188"/>
      <c r="D24" s="188"/>
      <c r="E24" s="188"/>
    </row>
    <row r="25" spans="2:22">
      <c r="C25" s="252"/>
      <c r="D25" s="188"/>
      <c r="E25" s="188"/>
      <c r="L25" s="63"/>
    </row>
    <row r="27" spans="2:22" ht="18">
      <c r="C27" s="69" t="str">
        <f>C10</f>
        <v>Table 2:  Key variables used in maximum price calculation ($, $2020-21)</v>
      </c>
      <c r="D27" s="72"/>
      <c r="H27" s="63"/>
      <c r="I27" s="63"/>
      <c r="J27" s="63"/>
    </row>
    <row r="28" spans="2:22" ht="18">
      <c r="B28" s="44"/>
      <c r="C28" s="73"/>
      <c r="D28" s="74"/>
      <c r="E28" s="34"/>
      <c r="F28" s="34"/>
      <c r="G28" s="34"/>
      <c r="H28" s="197"/>
      <c r="I28" s="197"/>
      <c r="J28" s="197"/>
      <c r="K28" s="34"/>
      <c r="L28" s="34"/>
      <c r="M28" s="34"/>
      <c r="N28" s="34"/>
      <c r="O28" s="34"/>
      <c r="P28" s="34"/>
      <c r="Q28" s="34"/>
      <c r="R28" s="34"/>
      <c r="S28" s="34"/>
      <c r="T28" s="34"/>
      <c r="U28" s="34"/>
      <c r="V28" s="45"/>
    </row>
    <row r="29" spans="2:22" ht="9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c r="B30" s="46"/>
      <c r="E30" s="178">
        <f>SUM(E40:E130)</f>
        <v>8270.709295673767</v>
      </c>
      <c r="F30" s="75">
        <f t="shared" ref="F30:H30" si="0">SUM(F40:F130)</f>
        <v>7951.3776550371094</v>
      </c>
      <c r="G30" s="75">
        <f t="shared" si="0"/>
        <v>8330.1940982579545</v>
      </c>
      <c r="H30" s="71">
        <f t="shared" si="0"/>
        <v>2939.8458991172479</v>
      </c>
      <c r="K30" s="75">
        <f>K40</f>
        <v>6448400.1772441771</v>
      </c>
      <c r="M30" s="75">
        <f>SUM(M40:M130)</f>
        <v>10944297.868973862</v>
      </c>
      <c r="O30" s="75">
        <f>SUM(O40:O130)</f>
        <v>1272390.3983666415</v>
      </c>
      <c r="R30" s="75">
        <f>SUM(R40:R130)</f>
        <v>16953347.53287914</v>
      </c>
      <c r="U30" s="75">
        <f>SUM(U40:U130)</f>
        <v>7527156.6721593998</v>
      </c>
      <c r="V30" s="47"/>
    </row>
    <row r="31" spans="2:22">
      <c r="B31" s="48"/>
      <c r="C31" s="35"/>
      <c r="D31" s="35"/>
      <c r="E31" s="35"/>
      <c r="F31" s="35"/>
      <c r="G31" s="35"/>
      <c r="H31" s="35"/>
      <c r="I31" s="35"/>
      <c r="J31" s="239" t="s">
        <v>403</v>
      </c>
      <c r="K31" s="240">
        <f>K30-'Pre-1996 assets'!$Q$3103</f>
        <v>1.4901161193847656E-8</v>
      </c>
      <c r="L31" s="240"/>
      <c r="M31" s="240">
        <f>M30-'Post-1996 commissioned assets'!$Q$2530</f>
        <v>2.0489096641540527E-8</v>
      </c>
      <c r="N31" s="240"/>
      <c r="O31" s="240">
        <f>O30-'Uncommissioned assets'!$Q$29</f>
        <v>0</v>
      </c>
      <c r="P31" s="35"/>
      <c r="Q31" s="35"/>
      <c r="R31" s="35"/>
      <c r="S31" s="35"/>
      <c r="T31" s="35"/>
      <c r="U31" s="35"/>
      <c r="V31" s="49"/>
    </row>
    <row r="34" spans="2:27">
      <c r="B34" s="104" t="str">
        <f>"Note:  inputs are required in "&amp;'Reduction amount'!D17&amp;" and "&amp;'Reduction amount'!D18&amp;" to calculate the 'Reduction amount'."</f>
        <v>Note:  inputs are required in $Q$67:$Q$96 and $T$67:$T$96 to calculate the 'Reduction amount'.</v>
      </c>
    </row>
    <row r="36" spans="2:27" ht="18">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c r="B38" s="46"/>
      <c r="C38" s="69"/>
      <c r="D38" s="114"/>
      <c r="E38" s="117" t="s">
        <v>143</v>
      </c>
      <c r="F38" s="114"/>
      <c r="G38" s="114"/>
      <c r="H38" s="114"/>
      <c r="I38" s="114"/>
      <c r="J38" s="117" t="s">
        <v>144</v>
      </c>
      <c r="N38" s="62" t="s">
        <v>277</v>
      </c>
      <c r="O38" s="62"/>
      <c r="Q38" s="117" t="s">
        <v>145</v>
      </c>
      <c r="R38" s="103"/>
      <c r="T38" s="117" t="s">
        <v>146</v>
      </c>
      <c r="V38" s="47"/>
    </row>
    <row r="39" spans="2:27" ht="82">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 thickBot="1">
      <c r="B40" s="46"/>
      <c r="C40" s="26">
        <f>IF(D40='General inputs'!$I$16,0,IF(D40&lt;'General inputs'!$I$16,C41-1,C39+1))</f>
        <v>-27</v>
      </c>
      <c r="D40" s="137" t="str">
        <f>RIGHT(YEAR('General inputs'!$H$24),4)&amp;"-"&amp;RIGHT(YEAR('General inputs'!H24),2)+1</f>
        <v>1995-96</v>
      </c>
      <c r="E40" s="77">
        <f>IF(LEFT(D40,4)*1&gt;LEFT('General inputs'!$I$16,4)+'General inputs'!$H$38-1,"",'ET inputs'!D12)</f>
        <v>46.35755361057636</v>
      </c>
      <c r="F40" s="77">
        <f>IF(LEFT(D40,4)*1&gt;LEFT('General inputs'!$I$16,4)+'General inputs'!$H$38-1,"",E40/(1+'General inputs'!$H$30)^C40)</f>
        <v>102.97352416030233</v>
      </c>
      <c r="G40" s="77">
        <f>IF(LEFT(D40,4)*1&gt;LEFT('General inputs'!$I$16,4)+'General inputs'!$H$38-1,"",E40/(1+'General inputs'!$H$32)^C40)</f>
        <v>140.7825804422246</v>
      </c>
      <c r="H40" s="76" t="str">
        <f>IF(LEFT(D40,4)*1&lt;LEFT('General inputs'!$I$16,4)*1,"",IF(LEFT(D40,4)*1&gt;LEFT('General inputs'!$I$16,4)+'General inputs'!$H$38-1,"",E40/(1+'General inputs'!$H$34)^C40))</f>
        <v/>
      </c>
      <c r="J40" s="77">
        <f>'Pre-1996 assets'!P3103</f>
        <v>2902999.1869918862</v>
      </c>
      <c r="K40" s="77">
        <f>J40/(1+'General inputs'!$H$30)^C40</f>
        <v>6448400.1772441771</v>
      </c>
      <c r="L40" s="138">
        <f>IF(LEFT(D40,4)*1&gt;LEFT('General inputs'!$I$18,4)*1,"",SUMIF('Post-1996 commissioned assets'!$F$22:$F$2529,$D40,'Post-1996 commissioned assets'!$P$22:$P$2529))</f>
        <v>144798.40191062909</v>
      </c>
      <c r="M40" s="138">
        <f>IF(L40="","",L40/(1+'General inputs'!$H$32)^C40)</f>
        <v>439736.16114716418</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c r="B41" s="46"/>
      <c r="C41" s="26">
        <f>IF(D41='General inputs'!$I$16,0,IF(D41&lt;'General inputs'!$I$16,C42-1,C40+1))</f>
        <v>-26</v>
      </c>
      <c r="D41" s="26" t="str">
        <f>LEFT(D40,4)+1&amp;"-"&amp;RIGHT(D40,2)+1</f>
        <v>1996-97</v>
      </c>
      <c r="E41" s="76">
        <f>IF(LEFT(D41,4)*1&gt;LEFT('General inputs'!$I$16,4)+'General inputs'!$H$38-1,"",'ET inputs'!D13)</f>
        <v>94.125767577521387</v>
      </c>
      <c r="F41" s="76">
        <f>IF(LEFT(D41,4)*1&gt;LEFT('General inputs'!$I$16,4)+'General inputs'!$H$38-1,"",E41/(1+'General inputs'!$H$30)^C41)</f>
        <v>202.99080840854376</v>
      </c>
      <c r="G41" s="76">
        <f>IF(LEFT(D41,4)*1&gt;LEFT('General inputs'!$I$16,4)+'General inputs'!$H$38-1,"",E41/(1+'General inputs'!$H$32)^C41)</f>
        <v>274.32742303963772</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0</v>
      </c>
      <c r="M41" s="76">
        <f>IF(L41="","",L41/(1+'General inputs'!$H$32)^C41)</f>
        <v>0</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c r="B42" s="46"/>
      <c r="C42" s="26">
        <f>IF(D42='General inputs'!$I$16,0,IF(D42&lt;'General inputs'!$I$16,C43-1,C41+1))</f>
        <v>-25</v>
      </c>
      <c r="D42" s="26" t="str">
        <f t="shared" ref="D42:D100" si="1">LEFT(D41,4)+1&amp;"-"&amp;RIGHT(D41,2)+1</f>
        <v>1997-98</v>
      </c>
      <c r="E42" s="76">
        <f>IF(LEFT(D42,4)*1&gt;LEFT('General inputs'!$I$16,4)+'General inputs'!$H$38-1,"",'ET inputs'!D14)</f>
        <v>95.557891131215001</v>
      </c>
      <c r="F42" s="76">
        <f>IF(LEFT(D42,4)*1&gt;LEFT('General inputs'!$I$16,4)+'General inputs'!$H$38-1,"",E42/(1+'General inputs'!$H$30)^C42)</f>
        <v>200.07700345483812</v>
      </c>
      <c r="G42" s="76">
        <f>IF(LEFT(D42,4)*1&gt;LEFT('General inputs'!$I$16,4)+'General inputs'!$H$38-1,"",E42/(1+'General inputs'!$H$32)^C42)</f>
        <v>267.27573395507727</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11486.070408073017</v>
      </c>
      <c r="M42" s="76">
        <f>IF(L42="","",L42/(1+'General inputs'!$H$32)^C42)</f>
        <v>32126.576489239604</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c r="B43" s="46"/>
      <c r="C43" s="26">
        <f>IF(D43='General inputs'!$I$16,0,IF(D43&lt;'General inputs'!$I$16,C44-1,C42+1))</f>
        <v>-24</v>
      </c>
      <c r="D43" s="78" t="str">
        <f t="shared" si="1"/>
        <v>1998-99</v>
      </c>
      <c r="E43" s="76">
        <f>IF(LEFT(D43,4)*1&gt;LEFT('General inputs'!$I$16,4)+'General inputs'!$H$38-1,"",'ET inputs'!D15)</f>
        <v>97.011804444775393</v>
      </c>
      <c r="F43" s="76">
        <f>IF(LEFT(D43,4)*1&gt;LEFT('General inputs'!$I$16,4)+'General inputs'!$H$38-1,"",E43/(1+'General inputs'!$H$30)^C43)</f>
        <v>197.20502433242845</v>
      </c>
      <c r="G43" s="76">
        <f>IF(LEFT(D43,4)*1&gt;LEFT('General inputs'!$I$16,4)+'General inputs'!$H$38-1,"",E43/(1+'General inputs'!$H$32)^C43)</f>
        <v>260.40531117773594</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0</v>
      </c>
      <c r="M43" s="76">
        <f>IF(L43="","",L43/(1+'General inputs'!$H$32)^C43)</f>
        <v>0</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c r="B44" s="46"/>
      <c r="C44" s="26">
        <f>IF(D44='General inputs'!$I$16,0,IF(D44&lt;'General inputs'!$I$16,C45-1,C43+1))</f>
        <v>-23</v>
      </c>
      <c r="D44" s="79" t="str">
        <f>LEFT(D43,4)+1&amp;"-00"</f>
        <v>1999-00</v>
      </c>
      <c r="E44" s="76">
        <f>IF(LEFT(D44,4)*1&gt;LEFT('General inputs'!$I$16,4)+'General inputs'!$H$38-1,"",'ET inputs'!D16)</f>
        <v>98.487839049401373</v>
      </c>
      <c r="F44" s="76">
        <f>IF(LEFT(D44,4)*1&gt;LEFT('General inputs'!$I$16,4)+'General inputs'!$H$38-1,"",E44/(1+'General inputs'!$H$30)^C44)</f>
        <v>194.37427065790655</v>
      </c>
      <c r="G44" s="76">
        <f>IF(LEFT(D44,4)*1&gt;LEFT('General inputs'!$I$16,4)+'General inputs'!$H$38-1,"",E44/(1+'General inputs'!$H$32)^C44)</f>
        <v>253.71149518934905</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27872.859654749958</v>
      </c>
      <c r="M44" s="76">
        <f>IF(L44="","",L44/(1+'General inputs'!$H$32)^C44)</f>
        <v>71802.417094991368</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c r="B45" s="46"/>
      <c r="C45" s="26">
        <f>IF(D45='General inputs'!$I$16,0,IF(D45&lt;'General inputs'!$I$16,C46-1,C44+1))</f>
        <v>-22</v>
      </c>
      <c r="D45" s="80" t="str">
        <f>LEFT(D44,4)+1&amp;"-0"&amp;RIGHT(D44,2)+1</f>
        <v>2000-01</v>
      </c>
      <c r="E45" s="76">
        <f>IF(LEFT(D45,4)*1&gt;LEFT('General inputs'!$I$16,4)+'General inputs'!$H$38-1,"",'ET inputs'!D17)</f>
        <v>99.986331520536623</v>
      </c>
      <c r="F45" s="76">
        <f>IF(LEFT(D45,4)*1&gt;LEFT('General inputs'!$I$16,4)+'General inputs'!$H$38-1,"",E45/(1+'General inputs'!$H$30)^C45)</f>
        <v>191.58415066598431</v>
      </c>
      <c r="G45" s="76">
        <f>IF(LEFT(D45,4)*1&gt;LEFT('General inputs'!$I$16,4)+'General inputs'!$H$38-1,"",E45/(1+'General inputs'!$H$32)^C45)</f>
        <v>247.18974624630658</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0</v>
      </c>
      <c r="M45" s="76">
        <f>IF(L45="","",L45/(1+'General inputs'!$H$32)^C45)</f>
        <v>0</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c r="B46" s="46"/>
      <c r="C46" s="26">
        <f>IF(D46='General inputs'!$I$16,0,IF(D46&lt;'General inputs'!$I$16,C47-1,C45+1))</f>
        <v>-21</v>
      </c>
      <c r="D46" s="26" t="str">
        <f t="shared" ref="D46:D53" si="2">LEFT(D45,4)+1&amp;"-0"&amp;RIGHT(D45,2)+1</f>
        <v>2001-02</v>
      </c>
      <c r="E46" s="76">
        <f>IF(LEFT(D46,4)*1&gt;LEFT('General inputs'!$I$16,4)+'General inputs'!$H$38-1,"",'ET inputs'!D18)</f>
        <v>101.50762355462575</v>
      </c>
      <c r="F46" s="76">
        <f>IF(LEFT(D46,4)*1&gt;LEFT('General inputs'!$I$16,4)+'General inputs'!$H$38-1,"",E46/(1+'General inputs'!$H$30)^C46)</f>
        <v>188.83408108580122</v>
      </c>
      <c r="G46" s="76">
        <f>IF(LEFT(D46,4)*1&gt;LEFT('General inputs'!$I$16,4)+'General inputs'!$H$38-1,"",E46/(1+'General inputs'!$H$32)^C46)</f>
        <v>240.83564130081996</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52624.516542326295</v>
      </c>
      <c r="M46" s="76">
        <f>IF(L46="","",L46/(1+'General inputs'!$H$32)^C46)</f>
        <v>124856.22996381544</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c r="B47" s="46"/>
      <c r="C47" s="26">
        <f>IF(D47='General inputs'!$I$16,0,IF(D47&lt;'General inputs'!$I$16,C48-1,C46+1))</f>
        <v>-20</v>
      </c>
      <c r="D47" s="26" t="str">
        <f t="shared" si="2"/>
        <v>2002-03</v>
      </c>
      <c r="E47" s="76">
        <f>IF(LEFT(D47,4)*1&gt;LEFT('General inputs'!$I$16,4)+'General inputs'!$H$38-1,"",'ET inputs'!D19)</f>
        <v>103.05206204700697</v>
      </c>
      <c r="F47" s="76">
        <f>IF(LEFT(D47,4)*1&gt;LEFT('General inputs'!$I$16,4)+'General inputs'!$H$38-1,"",E47/(1+'General inputs'!$H$30)^C47)</f>
        <v>186.12348701894874</v>
      </c>
      <c r="G47" s="76">
        <f>IF(LEFT(D47,4)*1&gt;LEFT('General inputs'!$I$16,4)+'General inputs'!$H$38-1,"",E47/(1+'General inputs'!$H$32)^C47)</f>
        <v>234.64487100115758</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79944.228161505525</v>
      </c>
      <c r="M47" s="76">
        <f>IF(L47="","",L47/(1+'General inputs'!$H$32)^C47)</f>
        <v>182029.38137896673</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c r="B48" s="46"/>
      <c r="C48" s="26">
        <f>IF(D48='General inputs'!$I$16,0,IF(D48&lt;'General inputs'!$I$16,C49-1,C47+1))</f>
        <v>-19</v>
      </c>
      <c r="D48" s="26" t="str">
        <f t="shared" si="2"/>
        <v>2003-04</v>
      </c>
      <c r="E48" s="76">
        <f>IF(LEFT(D48,4)*1&gt;LEFT('General inputs'!$I$16,4)+'General inputs'!$H$38-1,"",'ET inputs'!D20)</f>
        <v>104.61999917105277</v>
      </c>
      <c r="F48" s="76">
        <f>IF(LEFT(D48,4)*1&gt;LEFT('General inputs'!$I$16,4)+'General inputs'!$H$38-1,"",E48/(1+'General inputs'!$H$30)^C48)</f>
        <v>183.45180181936226</v>
      </c>
      <c r="G48" s="76">
        <f>IF(LEFT(D48,4)*1&gt;LEFT('General inputs'!$I$16,4)+'General inputs'!$H$38-1,"",E48/(1+'General inputs'!$H$32)^C48)</f>
        <v>228.61323676913773</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41434.750220650036</v>
      </c>
      <c r="M48" s="76">
        <f>IF(L48="","",L48/(1+'General inputs'!$H$32)^C48)</f>
        <v>90542.271436802839</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c r="B49" s="46"/>
      <c r="C49" s="26">
        <f>IF(D49='General inputs'!$I$16,0,IF(D49&lt;'General inputs'!$I$16,C50-1,C48+1))</f>
        <v>-18</v>
      </c>
      <c r="D49" s="26" t="str">
        <f t="shared" si="2"/>
        <v>2004-05</v>
      </c>
      <c r="E49" s="76">
        <f>IF(LEFT(D49,4)*1&gt;LEFT('General inputs'!$I$16,4)+'General inputs'!$H$38-1,"",'ET inputs'!D21)</f>
        <v>106.21179245843994</v>
      </c>
      <c r="F49" s="76">
        <f>IF(LEFT(D49,4)*1&gt;LEFT('General inputs'!$I$16,4)+'General inputs'!$H$38-1,"",E49/(1+'General inputs'!$H$30)^C49)</f>
        <v>180.81846697479918</v>
      </c>
      <c r="G49" s="76">
        <f>IF(LEFT(D49,4)*1&gt;LEFT('General inputs'!$I$16,4)+'General inputs'!$H$38-1,"",E49/(1+'General inputs'!$H$32)^C49)</f>
        <v>222.7366479525713</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46991.065470357717</v>
      </c>
      <c r="M49" s="76">
        <f>IF(L49="","",L49/(1+'General inputs'!$H$32)^C49)</f>
        <v>98544.91826491704</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c r="B50" s="46"/>
      <c r="C50" s="26">
        <f>IF(D50='General inputs'!$I$16,0,IF(D50&lt;'General inputs'!$I$16,C51-1,C49+1))</f>
        <v>-17</v>
      </c>
      <c r="D50" s="26" t="str">
        <f t="shared" si="2"/>
        <v>2005-06</v>
      </c>
      <c r="E50" s="76">
        <f>IF(LEFT(D50,4)*1&gt;LEFT('General inputs'!$I$16,4)+'General inputs'!$H$38-1,"",'ET inputs'!D22)</f>
        <v>107.82780488069693</v>
      </c>
      <c r="F50" s="76">
        <f>IF(LEFT(D50,4)*1&gt;LEFT('General inputs'!$I$16,4)+'General inputs'!$H$38-1,"",E50/(1+'General inputs'!$H$30)^C50)</f>
        <v>178.22293199012026</v>
      </c>
      <c r="G50" s="76">
        <f>IF(LEFT(D50,4)*1&gt;LEFT('General inputs'!$I$16,4)+'General inputs'!$H$38-1,"",E50/(1+'General inputs'!$H$32)^C50)</f>
        <v>217.01111905103016</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1833020.4905098733</v>
      </c>
      <c r="M50" s="76">
        <f>IF(L50="","",L50/(1+'General inputs'!$H$32)^C50)</f>
        <v>3689083.982829242</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c r="B51" s="46"/>
      <c r="C51" s="26">
        <f>IF(D51='General inputs'!$I$16,0,IF(D51&lt;'General inputs'!$I$16,C52-1,C50+1))</f>
        <v>-16</v>
      </c>
      <c r="D51" s="26" t="str">
        <f t="shared" si="2"/>
        <v>2006-07</v>
      </c>
      <c r="E51" s="76">
        <f>IF(LEFT(D51,4)*1&gt;LEFT('General inputs'!$I$16,4)+'General inputs'!$H$38-1,"",'ET inputs'!D23)</f>
        <v>109.46840493195486</v>
      </c>
      <c r="F51" s="76">
        <f>IF(LEFT(D51,4)*1&gt;LEFT('General inputs'!$I$16,4)+'General inputs'!$H$38-1,"",E51/(1+'General inputs'!$H$30)^C51)</f>
        <v>175.66465427218139</v>
      </c>
      <c r="G51" s="76">
        <f>IF(LEFT(D51,4)*1&gt;LEFT('General inputs'!$I$16,4)+'General inputs'!$H$38-1,"",E51/(1+'General inputs'!$H$32)^C51)</f>
        <v>211.43276701284819</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251880.86992473382</v>
      </c>
      <c r="M51" s="76">
        <f>IF(L51="","",L51/(1+'General inputs'!$H$32)^C51)</f>
        <v>486495.34373770596</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c r="B52" s="46"/>
      <c r="C52" s="26">
        <f>IF(D52='General inputs'!$I$16,0,IF(D52&lt;'General inputs'!$I$16,C53-1,C51+1))</f>
        <v>-15</v>
      </c>
      <c r="D52" s="26" t="str">
        <f t="shared" si="2"/>
        <v>2007-08</v>
      </c>
      <c r="E52" s="76">
        <f>IF(LEFT(D52,4)*1&gt;LEFT('General inputs'!$I$16,4)+'General inputs'!$H$38-1,"",'ET inputs'!D24)</f>
        <v>111.13396671299596</v>
      </c>
      <c r="F52" s="76">
        <f>IF(LEFT(D52,4)*1&gt;LEFT('General inputs'!$I$16,4)+'General inputs'!$H$38-1,"",E52/(1+'General inputs'!$H$30)^C52)</f>
        <v>173.14309901644168</v>
      </c>
      <c r="G52" s="76">
        <f>IF(LEFT(D52,4)*1&gt;LEFT('General inputs'!$I$16,4)+'General inputs'!$H$38-1,"",E52/(1+'General inputs'!$H$32)^C52)</f>
        <v>205.99780860168079</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453599.27156577777</v>
      </c>
      <c r="M52" s="76">
        <f>IF(L52="","",L52/(1+'General inputs'!$H$32)^C52)</f>
        <v>840791.15224222466</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c r="B53" s="46"/>
      <c r="C53" s="26">
        <f>IF(D53='General inputs'!$I$16,0,IF(D53&lt;'General inputs'!$I$16,C54-1,C52+1))</f>
        <v>-14</v>
      </c>
      <c r="D53" s="78" t="str">
        <f t="shared" si="2"/>
        <v>2008-09</v>
      </c>
      <c r="E53" s="76">
        <f>IF(LEFT(D53,4)*1&gt;LEFT('General inputs'!$I$16,4)+'General inputs'!$H$38-1,"",'ET inputs'!D25)</f>
        <v>112.82487001653318</v>
      </c>
      <c r="F53" s="76">
        <f>IF(LEFT(D53,4)*1&gt;LEFT('General inputs'!$I$16,4)+'General inputs'!$H$38-1,"",E53/(1+'General inputs'!$H$30)^C53)</f>
        <v>170.6577390951216</v>
      </c>
      <c r="G53" s="76">
        <f>IF(LEFT(D53,4)*1&gt;LEFT('General inputs'!$I$16,4)+'General inputs'!$H$38-1,"",E53/(1+'General inputs'!$H$32)^C53)</f>
        <v>200.70255783066551</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197027.37779493682</v>
      </c>
      <c r="M53" s="76">
        <f>IF(L53="","",L53/(1+'General inputs'!$H$32)^C53)</f>
        <v>350489.2022505143</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c r="B54" s="46"/>
      <c r="C54" s="26">
        <f>IF(D54='General inputs'!$I$16,0,IF(D54&lt;'General inputs'!$I$16,C55-1,C53+1))</f>
        <v>-13</v>
      </c>
      <c r="D54" s="80" t="str">
        <f t="shared" si="1"/>
        <v>2009-10</v>
      </c>
      <c r="E54" s="76">
        <f>IF(LEFT(D54,4)*1&gt;LEFT('General inputs'!$I$16,4)+'General inputs'!$H$38-1,"",'ET inputs'!D26)</f>
        <v>114.541500413834</v>
      </c>
      <c r="F54" s="76">
        <f>IF(LEFT(D54,4)*1&gt;LEFT('General inputs'!$I$16,4)+'General inputs'!$H$38-1,"",E54/(1+'General inputs'!$H$30)^C54)</f>
        <v>168.20805494704149</v>
      </c>
      <c r="G54" s="76">
        <f>IF(LEFT(D54,4)*1&gt;LEFT('General inputs'!$I$16,4)+'General inputs'!$H$38-1,"",E54/(1+'General inputs'!$H$32)^C54)</f>
        <v>195.5434234626274</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95995.535104399358</v>
      </c>
      <c r="M54" s="76">
        <f>IF(L54="","",L54/(1+'General inputs'!$H$32)^C54)</f>
        <v>163882.04714990739</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c r="B55" s="46"/>
      <c r="C55" s="26">
        <f>IF(D55='General inputs'!$I$16,0,IF(D55&lt;'General inputs'!$I$16,C56-1,C54+1))</f>
        <v>-12</v>
      </c>
      <c r="D55" s="26" t="str">
        <f t="shared" si="1"/>
        <v>2010-11</v>
      </c>
      <c r="E55" s="76">
        <f>IF(LEFT(D55,4)*1&gt;LEFT('General inputs'!$I$16,4)+'General inputs'!$H$38-1,"",'ET inputs'!D27)</f>
        <v>116.28424934263056</v>
      </c>
      <c r="F55" s="76">
        <f>IF(LEFT(D55,4)*1&gt;LEFT('General inputs'!$I$16,4)+'General inputs'!$H$38-1,"",E55/(1+'General inputs'!$H$30)^C55)</f>
        <v>165.79353446899111</v>
      </c>
      <c r="G55" s="76">
        <f>IF(LEFT(D55,4)*1&gt;LEFT('General inputs'!$I$16,4)+'General inputs'!$H$38-1,"",E55/(1+'General inputs'!$H$32)^C55)</f>
        <v>190.5169065744831</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131541.13236913763</v>
      </c>
      <c r="M55" s="76">
        <f>IF(L55="","",L55/(1+'General inputs'!$H$32)^C55)</f>
        <v>215513.36288400713</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c r="B56" s="46"/>
      <c r="C56" s="26">
        <f>IF(D56='General inputs'!$I$16,0,IF(D56&lt;'General inputs'!$I$16,C57-1,C55+1))</f>
        <v>-11</v>
      </c>
      <c r="D56" s="26" t="str">
        <f t="shared" si="1"/>
        <v>2011-12</v>
      </c>
      <c r="E56" s="76">
        <f>IF(LEFT(D56,4)*1&gt;LEFT('General inputs'!$I$16,4)+'General inputs'!$H$38-1,"",'ET inputs'!D28)</f>
        <v>118.05351419637917</v>
      </c>
      <c r="F56" s="76">
        <f>IF(LEFT(D56,4)*1&gt;LEFT('General inputs'!$I$16,4)+'General inputs'!$H$38-1,"",E56/(1+'General inputs'!$H$30)^C56)</f>
        <v>163.4136729086772</v>
      </c>
      <c r="G56" s="76">
        <f>IF(LEFT(D56,4)*1&gt;LEFT('General inputs'!$I$16,4)+'General inputs'!$H$38-1,"",E56/(1+'General inputs'!$H$32)^C56)</f>
        <v>185.61959818427508</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125752.34073588852</v>
      </c>
      <c r="M56" s="76">
        <f>IF(L56="","",L56/(1+'General inputs'!$H$32)^C56)</f>
        <v>197724.72778149287</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c r="B57" s="46"/>
      <c r="C57" s="26">
        <f>IF(D57='General inputs'!$I$16,0,IF(D57&lt;'General inputs'!$I$16,C58-1,C56+1))</f>
        <v>-10</v>
      </c>
      <c r="D57" s="26" t="str">
        <f t="shared" si="1"/>
        <v>2012-13</v>
      </c>
      <c r="E57" s="76">
        <f>IF(LEFT(D57,4)*1&gt;LEFT('General inputs'!$I$16,4)+'General inputs'!$H$38-1,"",'ET inputs'!D29)</f>
        <v>119.84969841487691</v>
      </c>
      <c r="F57" s="76">
        <f>IF(LEFT(D57,4)*1&gt;LEFT('General inputs'!$I$16,4)+'General inputs'!$H$38-1,"",E57/(1+'General inputs'!$H$30)^C57)</f>
        <v>161.06797275920633</v>
      </c>
      <c r="G57" s="76">
        <f>IF(LEFT(D57,4)*1&gt;LEFT('General inputs'!$I$16,4)+'General inputs'!$H$38-1,"",E57/(1+'General inputs'!$H$32)^C57)</f>
        <v>180.84817693920209</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78822.171897675449</v>
      </c>
      <c r="M57" s="76">
        <f>IF(L57="","",L57/(1+'General inputs'!$H$32)^C57)</f>
        <v>118939.3572000308</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c r="B58" s="46"/>
      <c r="C58" s="26">
        <f>IF(D58='General inputs'!$I$16,0,IF(D58&lt;'General inputs'!$I$16,C59-1,C57+1))</f>
        <v>-9</v>
      </c>
      <c r="D58" s="26" t="str">
        <f t="shared" si="1"/>
        <v>2013-14</v>
      </c>
      <c r="E58" s="76">
        <f>IF(LEFT(D58,4)*1&gt;LEFT('General inputs'!$I$16,4)+'General inputs'!$H$38-1,"",'ET inputs'!D30)</f>
        <v>121.67321157626249</v>
      </c>
      <c r="F58" s="76">
        <f>IF(LEFT(D58,4)*1&gt;LEFT('General inputs'!$I$16,4)+'General inputs'!$H$38-1,"",E58/(1+'General inputs'!$H$30)^C58)</f>
        <v>158.75594365508928</v>
      </c>
      <c r="G58" s="76">
        <f>IF(LEFT(D58,4)*1&gt;LEFT('General inputs'!$I$16,4)+'General inputs'!$H$38-1,"",E58/(1+'General inputs'!$H$32)^C58)</f>
        <v>176.19940686308721</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92112.361350892315</v>
      </c>
      <c r="M58" s="76">
        <f>IF(L58="","",L58/(1+'General inputs'!$H$32)^C58)</f>
        <v>133391.26357006558</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c r="B59" s="46"/>
      <c r="C59" s="26">
        <f>IF(D59='General inputs'!$I$16,0,IF(D59&lt;'General inputs'!$I$16,C60-1,C58+1))</f>
        <v>-8</v>
      </c>
      <c r="D59" s="26" t="str">
        <f t="shared" si="1"/>
        <v>2014-15</v>
      </c>
      <c r="E59" s="76">
        <f>IF(LEFT(D59,4)*1&gt;LEFT('General inputs'!$I$16,4)+'General inputs'!$H$38-1,"",'ET inputs'!D31)</f>
        <v>123.52446949039222</v>
      </c>
      <c r="F59" s="76">
        <f>IF(LEFT(D59,4)*1&gt;LEFT('General inputs'!$I$16,4)+'General inputs'!$H$38-1,"",E59/(1+'General inputs'!$H$30)^C59)</f>
        <v>156.47710226970625</v>
      </c>
      <c r="G59" s="76">
        <f>IF(LEFT(D59,4)*1&gt;LEFT('General inputs'!$I$16,4)+'General inputs'!$H$38-1,"",E59/(1+'General inputs'!$H$32)^C59)</f>
        <v>171.67013516171266</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2166793.8165024635</v>
      </c>
      <c r="M59" s="76">
        <f>IF(L59="","",L59/(1+'General inputs'!$H$32)^C59)</f>
        <v>3011336.8539945311</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c r="B60" s="46"/>
      <c r="C60" s="26">
        <f>IF(D60='General inputs'!$I$16,0,IF(D60&lt;'General inputs'!$I$16,C61-1,C59+1))</f>
        <v>-7</v>
      </c>
      <c r="D60" s="26" t="str">
        <f t="shared" si="1"/>
        <v>2015-16</v>
      </c>
      <c r="E60" s="76">
        <f>IF(LEFT(D60,4)*1&gt;LEFT('General inputs'!$I$16,4)+'General inputs'!$H$38-1,"",'ET inputs'!D32)</f>
        <v>125.40389429368771</v>
      </c>
      <c r="F60" s="76">
        <f>IF(LEFT(D60,4)*1&gt;LEFT('General inputs'!$I$16,4)+'General inputs'!$H$38-1,"",E60/(1+'General inputs'!$H$30)^C60)</f>
        <v>154.2309722143095</v>
      </c>
      <c r="G60" s="76">
        <f>IF(LEFT(D60,4)*1&gt;LEFT('General inputs'!$I$16,4)+'General inputs'!$H$38-1,"",E60/(1+'General inputs'!$H$32)^C60)</f>
        <v>167.25729008464199</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203607.8977501039</v>
      </c>
      <c r="M60" s="76">
        <f>IF(L60="","",L60/(1+'General inputs'!$H$32)^C60)</f>
        <v>271561.78370154038</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c r="B61" s="46"/>
      <c r="C61" s="26">
        <f>IF(D61='General inputs'!$I$16,0,IF(D61&lt;'General inputs'!$I$16,C62-1,C60+1))</f>
        <v>-6</v>
      </c>
      <c r="D61" s="26" t="str">
        <f t="shared" si="1"/>
        <v>2016-17</v>
      </c>
      <c r="E61" s="76">
        <f>IF(LEFT(D61,4)*1&gt;LEFT('General inputs'!$I$16,4)+'General inputs'!$H$38-1,"",'ET inputs'!D33)</f>
        <v>127.31191454536747</v>
      </c>
      <c r="F61" s="76">
        <f>IF(LEFT(D61,4)*1&gt;LEFT('General inputs'!$I$16,4)+'General inputs'!$H$38-1,"",E61/(1+'General inputs'!$H$30)^C61)</f>
        <v>152.01708393839982</v>
      </c>
      <c r="G61" s="76">
        <f>IF(LEFT(D61,4)*1&gt;LEFT('General inputs'!$I$16,4)+'General inputs'!$H$38-1,"",E61/(1+'General inputs'!$H$32)^C61)</f>
        <v>162.95787884192089</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89016.804082580013</v>
      </c>
      <c r="M61" s="76">
        <f>IF(L61="","",L61/(1+'General inputs'!$H$32)^C61)</f>
        <v>113940.55007644149</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c r="B62" s="46"/>
      <c r="C62" s="26">
        <f>IF(D62='General inputs'!$I$16,0,IF(D62&lt;'General inputs'!$I$16,C63-1,C61+1))</f>
        <v>-5</v>
      </c>
      <c r="D62" s="26" t="str">
        <f t="shared" si="1"/>
        <v>2017-18</v>
      </c>
      <c r="E62" s="76">
        <f>IF(LEFT(D62,4)*1&gt;LEFT('General inputs'!$I$16,4)+'General inputs'!$H$38-1,"",'ET inputs'!D34)</f>
        <v>129.24896532517596</v>
      </c>
      <c r="F62" s="76">
        <f>IF(LEFT(D62,4)*1&gt;LEFT('General inputs'!$I$16,4)+'General inputs'!$H$38-1,"",E62/(1+'General inputs'!$H$30)^C62)</f>
        <v>149.83497463157613</v>
      </c>
      <c r="G62" s="76">
        <f>IF(LEFT(D62,4)*1&gt;LEFT('General inputs'!$I$16,4)+'General inputs'!$H$38-1,"",E62/(1+'General inputs'!$H$32)^C62)</f>
        <v>158.76898557437772</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54889.133610413126</v>
      </c>
      <c r="M62" s="76">
        <f>IF(L62="","",L62/(1+'General inputs'!$H$32)^C62)</f>
        <v>67425.623411812863</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c r="B63" s="46"/>
      <c r="C63" s="26">
        <f>IF(D63='General inputs'!$I$16,0,IF(D63&lt;'General inputs'!$I$16,C64-1,C62+1))</f>
        <v>-4</v>
      </c>
      <c r="D63" s="26" t="str">
        <f t="shared" si="1"/>
        <v>2018-19</v>
      </c>
      <c r="E63" s="76">
        <f>IF(LEFT(D63,4)*1&gt;LEFT('General inputs'!$I$16,4)+'General inputs'!$H$38-1,"",'ET inputs'!D35)</f>
        <v>131.21548833259658</v>
      </c>
      <c r="F63" s="76">
        <f>IF(LEFT(D63,4)*1&gt;LEFT('General inputs'!$I$16,4)+'General inputs'!$H$38-1,"",E63/(1+'General inputs'!$H$30)^C63)</f>
        <v>147.68418812678965</v>
      </c>
      <c r="G63" s="76">
        <f>IF(LEFT(D63,4)*1&gt;LEFT('General inputs'!$I$16,4)+'General inputs'!$H$38-1,"",E63/(1+'General inputs'!$H$32)^C63)</f>
        <v>154.6877693760936</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154940.18307458976</v>
      </c>
      <c r="M63" s="76">
        <f>IF(L63="","",L63/(1+'General inputs'!$H$32)^C63)</f>
        <v>182656.41968866481</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c r="B64" s="46"/>
      <c r="C64" s="26">
        <f>IF(D64='General inputs'!$I$16,0,IF(D64&lt;'General inputs'!$I$16,C65-1,C63+1))</f>
        <v>-3</v>
      </c>
      <c r="D64" s="26" t="str">
        <f t="shared" si="1"/>
        <v>2019-20</v>
      </c>
      <c r="E64" s="76">
        <f>IF(LEFT(D64,4)*1&gt;LEFT('General inputs'!$I$16,4)+'General inputs'!$H$38-1,"",'ET inputs'!D36)</f>
        <v>133.21193198757828</v>
      </c>
      <c r="F64" s="76">
        <f>IF(LEFT(D64,4)*1&gt;LEFT('General inputs'!$I$16,4)+'General inputs'!$H$38-1,"",E64/(1+'General inputs'!$H$30)^C64)</f>
        <v>145.56427480499045</v>
      </c>
      <c r="G64" s="76">
        <f>IF(LEFT(D64,4)*1&gt;LEFT('General inputs'!$I$16,4)+'General inputs'!$H$38-1,"",E64/(1+'General inputs'!$H$32)^C64)</f>
        <v>150.71146236770855</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46951.0654376616</v>
      </c>
      <c r="M64" s="76">
        <f>IF(L64="","",L64/(1+'General inputs'!$H$32)^C64)</f>
        <v>53118.843231639228</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c r="B65" s="46"/>
      <c r="C65" s="26">
        <f>IF(D65='General inputs'!$I$16,0,IF(D65&lt;'General inputs'!$I$16,C66-1,C64+1))</f>
        <v>-2</v>
      </c>
      <c r="D65" s="26" t="str">
        <f t="shared" si="1"/>
        <v>2020-21</v>
      </c>
      <c r="E65" s="76">
        <f>IF(LEFT(D65,4)*1&gt;LEFT('General inputs'!$I$16,4)+'General inputs'!$H$38-1,"",'ET inputs'!D37)</f>
        <v>135.23875153276822</v>
      </c>
      <c r="F65" s="76">
        <f>IF(LEFT(D65,4)*1&gt;LEFT('General inputs'!$I$16,4)+'General inputs'!$H$38-1,"",E65/(1+'General inputs'!$H$30)^C65)</f>
        <v>143.4747915011138</v>
      </c>
      <c r="G65" s="76">
        <f>IF(LEFT(D65,4)*1&gt;LEFT('General inputs'!$I$16,4)+'General inputs'!$H$38-1,"",E65/(1+'General inputs'!$H$32)^C65)</f>
        <v>146.83736781922457</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1572.2794816170367</v>
      </c>
      <c r="M65" s="76">
        <f>IF(L65="","",L65/(1+'General inputs'!$H$32)^C65)</f>
        <v>1707.1244590784406</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c r="B66" s="46"/>
      <c r="C66" s="26">
        <f>IF(D66='General inputs'!$I$16,0,IF(D66&lt;'General inputs'!$I$16,C67-1,C65+1))</f>
        <v>-1</v>
      </c>
      <c r="D66" s="26" t="str">
        <f t="shared" si="1"/>
        <v>2021-22</v>
      </c>
      <c r="E66" s="76">
        <f>IF(LEFT(D66,4)*1&gt;LEFT('General inputs'!$I$16,4)+'General inputs'!$H$38-1,"",'ET inputs'!D38)</f>
        <v>137.29640913733965</v>
      </c>
      <c r="F66" s="76">
        <f>IF(LEFT(D66,4)*1&gt;LEFT('General inputs'!$I$16,4)+'General inputs'!$H$38-1,"",E66/(1+'General inputs'!$H$30)^C66)</f>
        <v>141.41530141145984</v>
      </c>
      <c r="G66" s="76">
        <f>IF(LEFT(D66,4)*1&gt;LEFT('General inputs'!$I$16,4)+'General inputs'!$H$38-1,"",E66/(1+'General inputs'!$H$32)^C66)</f>
        <v>143.06285832110791</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6336.1564194479524</v>
      </c>
      <c r="M66" s="76">
        <f>IF(L66="","",L66/(1+'General inputs'!$H$32)^C66)</f>
        <v>6602.2749890647665</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c r="B67" s="46"/>
      <c r="C67" s="26">
        <f>IF(D67='General inputs'!$I$16,0,IF(D67&lt;'General inputs'!$I$16,C68-1,C66+1))</f>
        <v>0</v>
      </c>
      <c r="D67" s="26" t="str">
        <f t="shared" si="1"/>
        <v>2022-23</v>
      </c>
      <c r="E67" s="76">
        <f>IF(LEFT(D67,4)*1&gt;LEFT('General inputs'!$I$16,4)+'General inputs'!$H$38-1,"",'ET inputs'!D39)</f>
        <v>139.38537400236601</v>
      </c>
      <c r="F67" s="76">
        <f>IF(LEFT(D67,4)*1&gt;LEFT('General inputs'!$I$16,4)+'General inputs'!$H$38-1,"",E67/(1+'General inputs'!$H$30)^C67)</f>
        <v>139.38537400236601</v>
      </c>
      <c r="G67" s="76">
        <f>IF(LEFT(D67,4)*1&gt;LEFT('General inputs'!$I$16,4)+'General inputs'!$H$38-1,"",E67/(1+'General inputs'!$H$32)^C67)</f>
        <v>139.38537400236601</v>
      </c>
      <c r="H67" s="76">
        <f>IF(LEFT(D67,4)*1&lt;LEFT('General inputs'!$I$16,4)*1,"",IF(LEFT(D67,4)*1&gt;LEFT('General inputs'!$I$16,4)+'General inputs'!$H$38-1,"",E67/(1+'General inputs'!$H$34)^C67))</f>
        <v>139.38537400236601</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0</v>
      </c>
      <c r="O67" s="177">
        <f>IF(N67="","",N67/(1+'General inputs'!$H$32)^C67)</f>
        <v>0</v>
      </c>
      <c r="Q67" s="81">
        <f>'Reduction amount'!F40*SUM($E$67:E67)</f>
        <v>66705.658436312297</v>
      </c>
      <c r="R67" s="76">
        <f>IF(OR(LEFT(D67,4)*1&lt;LEFT('General inputs'!$I$16,4)*1,LEFT(D67,4)*1&gt;LEFT('General inputs'!$I$16,4)+'General inputs'!$H$38-1),"",Q67/(1+'General inputs'!$H$34)^C67)</f>
        <v>66705.658436312297</v>
      </c>
      <c r="T67" s="81">
        <f>('Reduction amount'!H40+'Reduction amount'!I40)*SUM($E$67:E67)</f>
        <v>29343.408934978092</v>
      </c>
      <c r="U67" s="76">
        <f>IF(OR(LEFT(D67,4)*1&lt;LEFT('General inputs'!$I$16,4)*1,LEFT(D67,4)*1&gt;LEFT('General inputs'!$I$16,4)+'General inputs'!$H$38-1),"",T67/(1+'General inputs'!$H$34)^C67)</f>
        <v>29343.408934978092</v>
      </c>
      <c r="V67" s="47"/>
      <c r="W67" s="31"/>
      <c r="X67" s="31"/>
    </row>
    <row r="68" spans="2:24">
      <c r="B68" s="46"/>
      <c r="C68" s="26">
        <f>IF(D68='General inputs'!$I$16,0,IF(D68&lt;'General inputs'!$I$16,C69-1,C67+1))</f>
        <v>1</v>
      </c>
      <c r="D68" s="26" t="str">
        <f t="shared" si="1"/>
        <v>2023-24</v>
      </c>
      <c r="E68" s="76">
        <f>IF(LEFT(D68,4)*1&gt;LEFT('General inputs'!$I$16,4)+'General inputs'!$H$38-1,"",'ET inputs'!D40)</f>
        <v>141.50612246780838</v>
      </c>
      <c r="F68" s="76">
        <f>IF(LEFT(D68,4)*1&gt;LEFT('General inputs'!$I$16,4)+'General inputs'!$H$38-1,"",E68/(1+'General inputs'!$H$30)^C68)</f>
        <v>137.38458492020231</v>
      </c>
      <c r="G68" s="76">
        <f>IF(LEFT(D68,4)*1&gt;LEFT('General inputs'!$I$16,4)+'General inputs'!$H$38-1,"",E68/(1+'General inputs'!$H$32)^C68)</f>
        <v>135.80242079444182</v>
      </c>
      <c r="H68" s="76">
        <f>IF(LEFT(D68,4)*1&lt;LEFT('General inputs'!$I$16,4)*1,"",IF(LEFT(D68,4)*1&gt;LEFT('General inputs'!$I$16,4)+'General inputs'!$H$38-1,"",E68/(1+'General inputs'!$H$34)^C68))</f>
        <v>135.80242079444182</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amount'!F41*SUM($E$67:E68)</f>
        <v>135951.48429156441</v>
      </c>
      <c r="R68" s="76">
        <f>IF(OR(LEFT(D68,4)*1&lt;LEFT('General inputs'!$I$16,4)*1,LEFT(D68,4)*1&gt;LEFT('General inputs'!$I$16,4)+'General inputs'!$H$38-1),"",Q68/(1+'General inputs'!$H$34)^C68)</f>
        <v>130471.67398422687</v>
      </c>
      <c r="T68" s="81">
        <f>('Reduction amount'!H41+'Reduction amount'!I41)*SUM($E$67:E68)</f>
        <v>56658.623752998872</v>
      </c>
      <c r="U68" s="76">
        <f>IF(OR(LEFT(D68,4)*1&lt;LEFT('General inputs'!$I$16,4)*1,LEFT(D68,4)*1&gt;LEFT('General inputs'!$I$16,4)+'General inputs'!$H$38-1),"",T68/(1+'General inputs'!$H$34)^C68)</f>
        <v>54374.878841649588</v>
      </c>
      <c r="V68" s="47"/>
      <c r="W68" s="31"/>
      <c r="X68" s="31"/>
    </row>
    <row r="69" spans="2:24">
      <c r="B69" s="46"/>
      <c r="C69" s="26">
        <f>IF(D69='General inputs'!$I$16,0,IF(D69&lt;'General inputs'!$I$16,C70-1,C68+1))</f>
        <v>2</v>
      </c>
      <c r="D69" s="26" t="str">
        <f t="shared" si="1"/>
        <v>2024-25</v>
      </c>
      <c r="E69" s="76">
        <f>IF(LEFT(D69,4)*1&gt;LEFT('General inputs'!$I$16,4)+'General inputs'!$H$38-1,"",'ET inputs'!D41)</f>
        <v>143.65913812116014</v>
      </c>
      <c r="F69" s="76">
        <f>IF(LEFT(D69,4)*1&gt;LEFT('General inputs'!$I$16,4)+'General inputs'!$H$38-1,"",E69/(1+'General inputs'!$H$30)^C69)</f>
        <v>135.41251590268655</v>
      </c>
      <c r="G69" s="76">
        <f>IF(LEFT(D69,4)*1&gt;LEFT('General inputs'!$I$16,4)+'General inputs'!$H$38-1,"",E69/(1+'General inputs'!$H$32)^C69)</f>
        <v>132.31156873976309</v>
      </c>
      <c r="H69" s="76">
        <f>IF(LEFT(D69,4)*1&lt;LEFT('General inputs'!$I$16,4)*1,"",IF(LEFT(D69,4)*1&gt;LEFT('General inputs'!$I$16,4)+'General inputs'!$H$38-1,"",E69/(1+'General inputs'!$H$34)^C69))</f>
        <v>132.31156873976309</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amount'!F42*SUM($E$67:E69)</f>
        <v>205482.5071422059</v>
      </c>
      <c r="R69" s="76">
        <f>IF(OR(LEFT(D69,4)*1&lt;LEFT('General inputs'!$I$16,4)*1,LEFT(D69,4)*1&gt;LEFT('General inputs'!$I$16,4)+'General inputs'!$H$38-1),"",Q69/(1+'General inputs'!$H$34)^C69)</f>
        <v>189251.53821843961</v>
      </c>
      <c r="T69" s="81">
        <f>('Reduction amount'!H42+'Reduction amount'!I42)*SUM($E$67:E69)</f>
        <v>85139.38426094623</v>
      </c>
      <c r="U69" s="76">
        <f>IF(OR(LEFT(D69,4)*1&lt;LEFT('General inputs'!$I$16,4)*1,LEFT(D69,4)*1&gt;LEFT('General inputs'!$I$16,4)+'General inputs'!$H$38-1),"",T69/(1+'General inputs'!$H$34)^C69)</f>
        <v>78414.263376706367</v>
      </c>
      <c r="V69" s="47"/>
      <c r="W69" s="31"/>
      <c r="X69" s="31"/>
    </row>
    <row r="70" spans="2:24">
      <c r="B70" s="46"/>
      <c r="C70" s="26">
        <f>IF(D70='General inputs'!$I$16,0,IF(D70&lt;'General inputs'!$I$16,C71-1,C69+1))</f>
        <v>3</v>
      </c>
      <c r="D70" s="26" t="str">
        <f t="shared" si="1"/>
        <v>2025-26</v>
      </c>
      <c r="E70" s="76">
        <f>IF(LEFT(D70,4)*1&gt;LEFT('General inputs'!$I$16,4)+'General inputs'!$H$38-1,"",'ET inputs'!D42)</f>
        <v>145.84491190767221</v>
      </c>
      <c r="F70" s="76">
        <f>IF(LEFT(D70,4)*1&gt;LEFT('General inputs'!$I$16,4)+'General inputs'!$H$38-1,"",E70/(1+'General inputs'!$H$30)^C70)</f>
        <v>133.46875469140252</v>
      </c>
      <c r="G70" s="76">
        <f>IF(LEFT(D70,4)*1&gt;LEFT('General inputs'!$I$16,4)+'General inputs'!$H$38-1,"",E70/(1+'General inputs'!$H$32)^C70)</f>
        <v>128.91045034370183</v>
      </c>
      <c r="H70" s="76">
        <f>IF(LEFT(D70,4)*1&lt;LEFT('General inputs'!$I$16,4)*1,"",IF(LEFT(D70,4)*1&gt;LEFT('General inputs'!$I$16,4)+'General inputs'!$H$38-1,"",E70/(1+'General inputs'!$H$34)^C70))</f>
        <v>128.91045034370183</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amount'!F43*SUM($E$67:E70)</f>
        <v>276071.44450551923</v>
      </c>
      <c r="R70" s="76">
        <f>IF(OR(LEFT(D70,4)*1&lt;LEFT('General inputs'!$I$16,4)*1,LEFT(D70,4)*1&gt;LEFT('General inputs'!$I$16,4)+'General inputs'!$H$38-1),"",Q70/(1+'General inputs'!$H$34)^C70)</f>
        <v>244016.01518174476</v>
      </c>
      <c r="T70" s="81">
        <f>('Reduction amount'!H43+'Reduction amount'!I43)*SUM($E$67:E70)</f>
        <v>117096.5017407811</v>
      </c>
      <c r="U70" s="76">
        <f>IF(OR(LEFT(D70,4)*1&lt;LEFT('General inputs'!$I$16,4)*1,LEFT(D70,4)*1&gt;LEFT('General inputs'!$I$16,4)+'General inputs'!$H$38-1),"",T70/(1+'General inputs'!$H$34)^C70)</f>
        <v>103500.09867078593</v>
      </c>
      <c r="V70" s="47"/>
      <c r="W70" s="31"/>
      <c r="X70" s="31"/>
    </row>
    <row r="71" spans="2:24">
      <c r="B71" s="46"/>
      <c r="C71" s="26">
        <f>IF(D71='General inputs'!$I$16,0,IF(D71&lt;'General inputs'!$I$16,C72-1,C70+1))</f>
        <v>4</v>
      </c>
      <c r="D71" s="26" t="str">
        <f t="shared" si="1"/>
        <v>2026-27</v>
      </c>
      <c r="E71" s="76">
        <f>IF(LEFT(D71,4)*1&gt;LEFT('General inputs'!$I$16,4)+'General inputs'!$H$38-1,"",'ET inputs'!D43)</f>
        <v>148.06394224234646</v>
      </c>
      <c r="F71" s="76">
        <f>IF(LEFT(D71,4)*1&gt;LEFT('General inputs'!$I$16,4)+'General inputs'!$H$38-1,"",E71/(1+'General inputs'!$H$30)^C71)</f>
        <v>131.55289494566148</v>
      </c>
      <c r="G71" s="76">
        <f>IF(LEFT(D71,4)*1&gt;LEFT('General inputs'!$I$16,4)+'General inputs'!$H$38-1,"",E71/(1+'General inputs'!$H$32)^C71)</f>
        <v>125.59675896898307</v>
      </c>
      <c r="H71" s="76">
        <f>IF(LEFT(D71,4)*1&lt;LEFT('General inputs'!$I$16,4)*1,"",IF(LEFT(D71,4)*1&gt;LEFT('General inputs'!$I$16,4)+'General inputs'!$H$38-1,"",E71/(1+'General inputs'!$H$34)^C71))</f>
        <v>125.59675896898307</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1500000</v>
      </c>
      <c r="O71" s="177">
        <f>IF(N71="","",N71/(1+'General inputs'!$H$32)^C71)</f>
        <v>1272390.3983666415</v>
      </c>
      <c r="Q71" s="81">
        <f>'Reduction amount'!F44*SUM($E$67:E71)</f>
        <v>347734.39255081496</v>
      </c>
      <c r="R71" s="76">
        <f>IF(OR(LEFT(D71,4)*1&lt;LEFT('General inputs'!$I$16,4)*1,LEFT(D71,4)*1&gt;LEFT('General inputs'!$I$16,4)+'General inputs'!$H$38-1),"",Q71/(1+'General inputs'!$H$34)^C71)</f>
        <v>294969.26817567565</v>
      </c>
      <c r="T71" s="81">
        <f>('Reduction amount'!H44+'Reduction amount'!I44)*SUM($E$67:E71)</f>
        <v>147499.73303859981</v>
      </c>
      <c r="U71" s="76">
        <f>IF(OR(LEFT(D71,4)*1&lt;LEFT('General inputs'!$I$16,4)*1,LEFT(D71,4)*1&gt;LEFT('General inputs'!$I$16,4)+'General inputs'!$H$38-1),"",T71/(1+'General inputs'!$H$34)^C71)</f>
        <v>125118.16271997151</v>
      </c>
      <c r="V71" s="47"/>
      <c r="W71" s="31"/>
      <c r="X71" s="31"/>
    </row>
    <row r="72" spans="2:24">
      <c r="B72" s="46"/>
      <c r="C72" s="26">
        <f>IF(D72='General inputs'!$I$16,0,IF(D72&lt;'General inputs'!$I$16,C73-1,C71+1))</f>
        <v>5</v>
      </c>
      <c r="D72" s="26" t="str">
        <f t="shared" si="1"/>
        <v>2027-28</v>
      </c>
      <c r="E72" s="76">
        <f>IF(LEFT(D72,4)*1&gt;LEFT('General inputs'!$I$16,4)+'General inputs'!$H$38-1,"",'ET inputs'!D44)</f>
        <v>150.31673512356247</v>
      </c>
      <c r="F72" s="76">
        <f>IF(LEFT(D72,4)*1&gt;LEFT('General inputs'!$I$16,4)+'General inputs'!$H$38-1,"",E72/(1+'General inputs'!$H$30)^C72)</f>
        <v>129.66453615753261</v>
      </c>
      <c r="G72" s="76">
        <f>IF(LEFT(D72,4)*1&gt;LEFT('General inputs'!$I$16,4)+'General inputs'!$H$38-1,"",E72/(1+'General inputs'!$H$32)^C72)</f>
        <v>122.36824727130043</v>
      </c>
      <c r="H72" s="76">
        <f>IF(LEFT(D72,4)*1&lt;LEFT('General inputs'!$I$16,4)*1,"",IF(LEFT(D72,4)*1&gt;LEFT('General inputs'!$I$16,4)+'General inputs'!$H$38-1,"",E72/(1+'General inputs'!$H$34)^C72))</f>
        <v>122.36824727130043</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amount'!F45*SUM($E$67:E72)</f>
        <v>420487.69235061918</v>
      </c>
      <c r="R72" s="76">
        <f>IF(OR(LEFT(D72,4)*1&lt;LEFT('General inputs'!$I$16,4)*1,LEFT(D72,4)*1&gt;LEFT('General inputs'!$I$16,4)+'General inputs'!$H$38-1),"",Q72/(1+'General inputs'!$H$34)^C72)</f>
        <v>342306.14355615748</v>
      </c>
      <c r="T72" s="81">
        <f>('Reduction amount'!H45+'Reduction amount'!I45)*SUM($E$67:E72)</f>
        <v>187959.7360331745</v>
      </c>
      <c r="U72" s="76">
        <f>IF(OR(LEFT(D72,4)*1&lt;LEFT('General inputs'!$I$16,4)*1,LEFT(D72,4)*1&gt;LEFT('General inputs'!$I$16,4)+'General inputs'!$H$38-1),"",T72/(1+'General inputs'!$H$34)^C72)</f>
        <v>153012.26065779891</v>
      </c>
      <c r="V72" s="47"/>
      <c r="W72" s="31"/>
      <c r="X72" s="31"/>
    </row>
    <row r="73" spans="2:24">
      <c r="B73" s="46"/>
      <c r="C73" s="26">
        <f>IF(D73='General inputs'!$I$16,0,IF(D73&lt;'General inputs'!$I$16,C74-1,C72+1))</f>
        <v>6</v>
      </c>
      <c r="D73" s="26" t="str">
        <f t="shared" si="1"/>
        <v>2028-29</v>
      </c>
      <c r="E73" s="76">
        <f>IF(LEFT(D73,4)*1&gt;LEFT('General inputs'!$I$16,4)+'General inputs'!$H$38-1,"",'ET inputs'!D45)</f>
        <v>152.60380424847244</v>
      </c>
      <c r="F73" s="76">
        <f>IF(LEFT(D73,4)*1&gt;LEFT('General inputs'!$I$16,4)+'General inputs'!$H$38-1,"",E73/(1+'General inputs'!$H$30)^C73)</f>
        <v>127.80328356812984</v>
      </c>
      <c r="G73" s="76">
        <f>IF(LEFT(D73,4)*1&gt;LEFT('General inputs'!$I$16,4)+'General inputs'!$H$38-1,"",E73/(1+'General inputs'!$H$32)^C73)</f>
        <v>119.22272567517973</v>
      </c>
      <c r="H73" s="76">
        <f>IF(LEFT(D73,4)*1&lt;LEFT('General inputs'!$I$16,4)*1,"",IF(LEFT(D73,4)*1&gt;LEFT('General inputs'!$I$16,4)+'General inputs'!$H$38-1,"",E73/(1+'General inputs'!$H$34)^C73))</f>
        <v>119.22272567517973</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amount'!F46*SUM($E$67:E73)</f>
        <v>494347.93360687984</v>
      </c>
      <c r="R73" s="76">
        <f>IF(OR(LEFT(D73,4)*1&lt;LEFT('General inputs'!$I$16,4)*1,LEFT(D73,4)*1&gt;LEFT('General inputs'!$I$16,4)+'General inputs'!$H$38-1),"",Q73/(1+'General inputs'!$H$34)^C73)</f>
        <v>386212.57423269621</v>
      </c>
      <c r="T73" s="81">
        <f>('Reduction amount'!H46+'Reduction amount'!I46)*SUM($E$67:E73)</f>
        <v>219198.3678334142</v>
      </c>
      <c r="U73" s="76">
        <f>IF(OR(LEFT(D73,4)*1&lt;LEFT('General inputs'!$I$16,4)*1,LEFT(D73,4)*1&gt;LEFT('General inputs'!$I$16,4)+'General inputs'!$H$38-1),"",T73/(1+'General inputs'!$H$34)^C73)</f>
        <v>171250.16643817959</v>
      </c>
      <c r="V73" s="47"/>
      <c r="W73" s="31"/>
      <c r="X73" s="31"/>
    </row>
    <row r="74" spans="2:24">
      <c r="B74" s="46"/>
      <c r="C74" s="26">
        <f>IF(D74='General inputs'!$I$16,0,IF(D74&lt;'General inputs'!$I$16,C75-1,C73+1))</f>
        <v>7</v>
      </c>
      <c r="D74" s="26" t="str">
        <f t="shared" si="1"/>
        <v>2029-30</v>
      </c>
      <c r="E74" s="76">
        <f>IF(LEFT(D74,4)*1&gt;LEFT('General inputs'!$I$16,4)+'General inputs'!$H$38-1,"",'ET inputs'!D46)</f>
        <v>154.92567113010955</v>
      </c>
      <c r="F74" s="76">
        <f>IF(LEFT(D74,4)*1&gt;LEFT('General inputs'!$I$16,4)+'General inputs'!$H$38-1,"",E74/(1+'General inputs'!$H$30)^C74)</f>
        <v>125.96874808506416</v>
      </c>
      <c r="G74" s="76">
        <f>IF(LEFT(D74,4)*1&gt;LEFT('General inputs'!$I$16,4)+'General inputs'!$H$38-1,"",E74/(1+'General inputs'!$H$32)^C74)</f>
        <v>116.15806088898748</v>
      </c>
      <c r="H74" s="76">
        <f>IF(LEFT(D74,4)*1&lt;LEFT('General inputs'!$I$16,4)*1,"",IF(LEFT(D74,4)*1&gt;LEFT('General inputs'!$I$16,4)+'General inputs'!$H$38-1,"",E74/(1+'General inputs'!$H$34)^C74))</f>
        <v>116.15806088898748</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amount'!F47*SUM($E$67:E74)</f>
        <v>569331.95843385288</v>
      </c>
      <c r="R74" s="76">
        <f>IF(OR(LEFT(D74,4)*1&lt;LEFT('General inputs'!$I$16,4)*1,LEFT(D74,4)*1&gt;LEFT('General inputs'!$I$16,4)+'General inputs'!$H$38-1),"",Q74/(1+'General inputs'!$H$34)^C74)</f>
        <v>426865.96618494962</v>
      </c>
      <c r="T74" s="81">
        <f>('Reduction amount'!H47+'Reduction amount'!I47)*SUM($E$67:E74)</f>
        <v>254305.52911945176</v>
      </c>
      <c r="U74" s="76">
        <f>IF(OR(LEFT(D74,4)*1&lt;LEFT('General inputs'!$I$16,4)*1,LEFT(D74,4)*1&gt;LEFT('General inputs'!$I$16,4)+'General inputs'!$H$38-1),"",T74/(1+'General inputs'!$H$34)^C74)</f>
        <v>190669.73807752944</v>
      </c>
      <c r="V74" s="47"/>
      <c r="W74" s="31"/>
      <c r="X74" s="31"/>
    </row>
    <row r="75" spans="2:24">
      <c r="B75" s="46"/>
      <c r="C75" s="26">
        <f>IF(D75='General inputs'!$I$16,0,IF(D75&lt;'General inputs'!$I$16,C76-1,C74+1))</f>
        <v>8</v>
      </c>
      <c r="D75" s="26" t="str">
        <f t="shared" si="1"/>
        <v>2030-31</v>
      </c>
      <c r="E75" s="76">
        <f>IF(LEFT(D75,4)*1&gt;LEFT('General inputs'!$I$16,4)+'General inputs'!$H$38-1,"",'ET inputs'!D47)</f>
        <v>157.28286521635528</v>
      </c>
      <c r="F75" s="76">
        <f>IF(LEFT(D75,4)*1&gt;LEFT('General inputs'!$I$16,4)+'General inputs'!$H$38-1,"",E75/(1+'General inputs'!$H$30)^C75)</f>
        <v>124.16054620114498</v>
      </c>
      <c r="G75" s="76">
        <f>IF(LEFT(D75,4)*1&gt;LEFT('General inputs'!$I$16,4)+'General inputs'!$H$38-1,"",E75/(1+'General inputs'!$H$32)^C75)</f>
        <v>113.17217445817106</v>
      </c>
      <c r="H75" s="76">
        <f>IF(LEFT(D75,4)*1&lt;LEFT('General inputs'!$I$16,4)*1,"",IF(LEFT(D75,4)*1&gt;LEFT('General inputs'!$I$16,4)+'General inputs'!$H$38-1,"",E75/(1+'General inputs'!$H$34)^C75))</f>
        <v>113.17217445817106</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amount'!F48*SUM($E$67:E75)</f>
        <v>645456.86519856879</v>
      </c>
      <c r="R75" s="76">
        <f>IF(OR(LEFT(D75,4)*1&lt;LEFT('General inputs'!$I$16,4)*1,LEFT(D75,4)*1&gt;LEFT('General inputs'!$I$16,4)+'General inputs'!$H$38-1),"",Q75/(1+'General inputs'!$H$34)^C75)</f>
        <v>464435.5686997025</v>
      </c>
      <c r="T75" s="81">
        <f>('Reduction amount'!H48+'Reduction amount'!I48)*SUM($E$67:E75)</f>
        <v>287721.73278221325</v>
      </c>
      <c r="U75" s="76">
        <f>IF(OR(LEFT(D75,4)*1&lt;LEFT('General inputs'!$I$16,4)*1,LEFT(D75,4)*1&gt;LEFT('General inputs'!$I$16,4)+'General inputs'!$H$38-1),"",T75/(1+'General inputs'!$H$34)^C75)</f>
        <v>207028.87179124134</v>
      </c>
      <c r="V75" s="47"/>
      <c r="W75" s="31"/>
      <c r="X75" s="31"/>
    </row>
    <row r="76" spans="2:24">
      <c r="B76" s="46"/>
      <c r="C76" s="26">
        <f>IF(D76='General inputs'!$I$16,0,IF(D76&lt;'General inputs'!$I$16,C77-1,C75+1))</f>
        <v>9</v>
      </c>
      <c r="D76" s="26" t="str">
        <f t="shared" si="1"/>
        <v>2031-32</v>
      </c>
      <c r="E76" s="76">
        <f>IF(LEFT(D76,4)*1&gt;LEFT('General inputs'!$I$16,4)+'General inputs'!$H$38-1,"",'ET inputs'!D48)</f>
        <v>159.67592401061847</v>
      </c>
      <c r="F76" s="76">
        <f>IF(LEFT(D76,4)*1&gt;LEFT('General inputs'!$I$16,4)+'General inputs'!$H$38-1,"",E76/(1+'General inputs'!$H$30)^C76)</f>
        <v>122.3782999141675</v>
      </c>
      <c r="G76" s="76">
        <f>IF(LEFT(D76,4)*1&gt;LEFT('General inputs'!$I$16,4)+'General inputs'!$H$38-1,"",E76/(1+'General inputs'!$H$32)^C76)</f>
        <v>110.26304135561372</v>
      </c>
      <c r="H76" s="76">
        <f>IF(LEFT(D76,4)*1&lt;LEFT('General inputs'!$I$16,4)*1,"",IF(LEFT(D76,4)*1&gt;LEFT('General inputs'!$I$16,4)+'General inputs'!$H$38-1,"",E76/(1+'General inputs'!$H$34)^C76))</f>
        <v>110.26304135561372</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amount'!F49*SUM($E$67:E76)</f>
        <v>722740.01241970819</v>
      </c>
      <c r="R76" s="76">
        <f>IF(OR(LEFT(D76,4)*1&lt;LEFT('General inputs'!$I$16,4)*1,LEFT(D76,4)*1&gt;LEFT('General inputs'!$I$16,4)+'General inputs'!$H$38-1),"",Q76/(1+'General inputs'!$H$34)^C76)</f>
        <v>499082.82900239591</v>
      </c>
      <c r="T76" s="81">
        <f>('Reduction amount'!H49+'Reduction amount'!I49)*SUM($E$67:E76)</f>
        <v>321649.1708165395</v>
      </c>
      <c r="U76" s="76">
        <f>IF(OR(LEFT(D76,4)*1&lt;LEFT('General inputs'!$I$16,4)*1,LEFT(D76,4)*1&gt;LEFT('General inputs'!$I$16,4)+'General inputs'!$H$38-1),"",T76/(1+'General inputs'!$H$34)^C76)</f>
        <v>222112.48216346293</v>
      </c>
      <c r="V76" s="47"/>
      <c r="W76" s="31"/>
      <c r="X76" s="31"/>
    </row>
    <row r="77" spans="2:24">
      <c r="B77" s="46"/>
      <c r="C77" s="26">
        <f>IF(D77='General inputs'!$I$16,0,IF(D77&lt;'General inputs'!$I$16,C78-1,C76+1))</f>
        <v>10</v>
      </c>
      <c r="D77" s="26" t="str">
        <f t="shared" si="1"/>
        <v>2032-33</v>
      </c>
      <c r="E77" s="76">
        <f>IF(LEFT(D77,4)*1&gt;LEFT('General inputs'!$I$16,4)+'General inputs'!$H$38-1,"",'ET inputs'!D49)</f>
        <v>162.10539319444433</v>
      </c>
      <c r="F77" s="76">
        <f>IF(LEFT(D77,4)*1&gt;LEFT('General inputs'!$I$16,4)+'General inputs'!$H$38-1,"",E77/(1+'General inputs'!$H$30)^C77)</f>
        <v>120.62163664792703</v>
      </c>
      <c r="G77" s="76">
        <f>IF(LEFT(D77,4)*1&gt;LEFT('General inputs'!$I$16,4)+'General inputs'!$H$38-1,"",E77/(1+'General inputs'!$H$32)^C77)</f>
        <v>107.428688608294</v>
      </c>
      <c r="H77" s="76">
        <f>IF(LEFT(D77,4)*1&lt;LEFT('General inputs'!$I$16,4)*1,"",IF(LEFT(D77,4)*1&gt;LEFT('General inputs'!$I$16,4)+'General inputs'!$H$38-1,"",E77/(1+'General inputs'!$H$34)^C77))</f>
        <v>107.428688608294</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amount'!F50*SUM($E$67:E77)</f>
        <v>801199.02272581926</v>
      </c>
      <c r="R77" s="76">
        <f>IF(OR(LEFT(D77,4)*1&lt;LEFT('General inputs'!$I$16,4)*1,LEFT(D77,4)*1&gt;LEFT('General inputs'!$I$16,4)+'General inputs'!$H$38-1),"",Q77/(1+'General inputs'!$H$34)^C77)</f>
        <v>530961.73192978837</v>
      </c>
      <c r="T77" s="81">
        <f>('Reduction amount'!H50+'Reduction amount'!I50)*SUM($E$67:E77)</f>
        <v>355556.89688280725</v>
      </c>
      <c r="U77" s="76">
        <f>IF(OR(LEFT(D77,4)*1&lt;LEFT('General inputs'!$I$16,4)*1,LEFT(D77,4)*1&gt;LEFT('General inputs'!$I$16,4)+'General inputs'!$H$38-1),"",T77/(1+'General inputs'!$H$34)^C77)</f>
        <v>235630.72396941992</v>
      </c>
      <c r="V77" s="47"/>
      <c r="W77" s="31"/>
      <c r="X77" s="31"/>
    </row>
    <row r="78" spans="2:24">
      <c r="B78" s="46"/>
      <c r="C78" s="26">
        <f>IF(D78='General inputs'!$I$16,0,IF(D78&lt;'General inputs'!$I$16,C79-1,C77+1))</f>
        <v>11</v>
      </c>
      <c r="D78" s="26" t="str">
        <f t="shared" si="1"/>
        <v>2033-34</v>
      </c>
      <c r="E78" s="76">
        <f>IF(LEFT(D78,4)*1&gt;LEFT('General inputs'!$I$16,4)+'General inputs'!$H$38-1,"",'ET inputs'!D50)</f>
        <v>164.57182675189688</v>
      </c>
      <c r="F78" s="76">
        <f>IF(LEFT(D78,4)*1&gt;LEFT('General inputs'!$I$16,4)+'General inputs'!$H$38-1,"",E78/(1+'General inputs'!$H$30)^C78)</f>
        <v>118.89018917429568</v>
      </c>
      <c r="G78" s="76">
        <f>IF(LEFT(D78,4)*1&gt;LEFT('General inputs'!$I$16,4)+'General inputs'!$H$38-1,"",E78/(1+'General inputs'!$H$32)^C78)</f>
        <v>104.66719395918288</v>
      </c>
      <c r="H78" s="76">
        <f>IF(LEFT(D78,4)*1&lt;LEFT('General inputs'!$I$16,4)*1,"",IF(LEFT(D78,4)*1&gt;LEFT('General inputs'!$I$16,4)+'General inputs'!$H$38-1,"",E78/(1+'General inputs'!$H$34)^C78))</f>
        <v>104.66719395918288</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amount'!F51*SUM($E$67:E78)</f>
        <v>880851.78687373735</v>
      </c>
      <c r="R78" s="76">
        <f>IF(OR(LEFT(D78,4)*1&lt;LEFT('General inputs'!$I$16,4)*1,LEFT(D78,4)*1&gt;LEFT('General inputs'!$I$16,4)+'General inputs'!$H$38-1),"",Q78/(1+'General inputs'!$H$34)^C78)</f>
        <v>560219.12526375731</v>
      </c>
      <c r="T78" s="81">
        <f>('Reduction amount'!H51+'Reduction amount'!I51)*SUM($E$67:E78)</f>
        <v>390268.29995290132</v>
      </c>
      <c r="U78" s="76">
        <f>IF(OR(LEFT(D78,4)*1&lt;LEFT('General inputs'!$I$16,4)*1,LEFT(D78,4)*1&gt;LEFT('General inputs'!$I$16,4)+'General inputs'!$H$38-1),"",T78/(1+'General inputs'!$H$34)^C78)</f>
        <v>248209.48186272752</v>
      </c>
      <c r="V78" s="47"/>
      <c r="W78" s="31"/>
      <c r="X78" s="31"/>
    </row>
    <row r="79" spans="2:24">
      <c r="B79" s="46"/>
      <c r="C79" s="26">
        <f>IF(D79='General inputs'!$I$16,0,IF(D79&lt;'General inputs'!$I$16,C80-1,C78+1))</f>
        <v>12</v>
      </c>
      <c r="D79" s="26" t="str">
        <f t="shared" si="1"/>
        <v>2034-35</v>
      </c>
      <c r="E79" s="76">
        <f>IF(LEFT(D79,4)*1&gt;LEFT('General inputs'!$I$16,4)+'General inputs'!$H$38-1,"",'ET inputs'!D51)</f>
        <v>167.07578709592417</v>
      </c>
      <c r="F79" s="76">
        <f>IF(LEFT(D79,4)*1&gt;LEFT('General inputs'!$I$16,4)+'General inputs'!$H$38-1,"",E79/(1+'General inputs'!$H$30)^C79)</f>
        <v>117.183595536486</v>
      </c>
      <c r="G79" s="76">
        <f>IF(LEFT(D79,4)*1&gt;LEFT('General inputs'!$I$16,4)+'General inputs'!$H$38-1,"",E79/(1+'General inputs'!$H$32)^C79)</f>
        <v>101.97668456359889</v>
      </c>
      <c r="H79" s="76">
        <f>IF(LEFT(D79,4)*1&lt;LEFT('General inputs'!$I$16,4)*1,"",IF(LEFT(D79,4)*1&gt;LEFT('General inputs'!$I$16,4)+'General inputs'!$H$38-1,"",E79/(1+'General inputs'!$H$34)^C79))</f>
        <v>101.97668456359889</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amount'!F52*SUM($E$67:E79)</f>
        <v>961716.46782816458</v>
      </c>
      <c r="R79" s="76">
        <f>IF(OR(LEFT(D79,4)*1&lt;LEFT('General inputs'!$I$16,4)*1,LEFT(D79,4)*1&gt;LEFT('General inputs'!$I$16,4)+'General inputs'!$H$38-1),"",Q79/(1+'General inputs'!$H$34)^C79)</f>
        <v>586995.03132087132</v>
      </c>
      <c r="T79" s="81">
        <f>('Reduction amount'!H52+'Reduction amount'!I52)*SUM($E$67:E79)</f>
        <v>425420.44578927691</v>
      </c>
      <c r="U79" s="76">
        <f>IF(OR(LEFT(D79,4)*1&lt;LEFT('General inputs'!$I$16,4)*1,LEFT(D79,4)*1&gt;LEFT('General inputs'!$I$16,4)+'General inputs'!$H$38-1),"",T79/(1+'General inputs'!$H$34)^C79)</f>
        <v>259660.4053838813</v>
      </c>
      <c r="V79" s="47"/>
      <c r="W79" s="31"/>
      <c r="X79" s="31"/>
    </row>
    <row r="80" spans="2:24">
      <c r="B80" s="46"/>
      <c r="C80" s="26">
        <f>IF(D80='General inputs'!$I$16,0,IF(D80&lt;'General inputs'!$I$16,C81-1,C79+1))</f>
        <v>13</v>
      </c>
      <c r="D80" s="26" t="str">
        <f t="shared" si="1"/>
        <v>2035-36</v>
      </c>
      <c r="E80" s="76">
        <f>IF(LEFT(D80,4)*1&gt;LEFT('General inputs'!$I$16,4)+'General inputs'!$H$38-1,"",'ET inputs'!D52)</f>
        <v>169.61784519658977</v>
      </c>
      <c r="F80" s="76">
        <f>IF(LEFT(D80,4)*1&gt;LEFT('General inputs'!$I$16,4)+'General inputs'!$H$38-1,"",E80/(1+'General inputs'!$H$30)^C80)</f>
        <v>115.50149897337322</v>
      </c>
      <c r="G80" s="76">
        <f>IF(LEFT(D80,4)*1&gt;LEFT('General inputs'!$I$16,4)+'General inputs'!$H$38-1,"",E80/(1+'General inputs'!$H$32)^C80)</f>
        <v>99.355335719035239</v>
      </c>
      <c r="H80" s="76">
        <f>IF(LEFT(D80,4)*1&lt;LEFT('General inputs'!$I$16,4)*1,"",IF(LEFT(D80,4)*1&gt;LEFT('General inputs'!$I$16,4)+'General inputs'!$H$38-1,"",E80/(1+'General inputs'!$H$34)^C80))</f>
        <v>99.355335719035239</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amount'!F53*SUM($E$67:E80)</f>
        <v>1043811.5049033141</v>
      </c>
      <c r="R80" s="76">
        <f>IF(OR(LEFT(D80,4)*1&lt;LEFT('General inputs'!$I$16,4)*1,LEFT(D80,4)*1&gt;LEFT('General inputs'!$I$16,4)+'General inputs'!$H$38-1),"",Q80/(1+'General inputs'!$H$34)^C80)</f>
        <v>611422.9453679279</v>
      </c>
      <c r="T80" s="81">
        <f>('Reduction amount'!H53+'Reduction amount'!I53)*SUM($E$67:E80)</f>
        <v>460463.21159484831</v>
      </c>
      <c r="U80" s="76">
        <f>IF(OR(LEFT(D80,4)*1&lt;LEFT('General inputs'!$I$16,4)*1,LEFT(D80,4)*1&gt;LEFT('General inputs'!$I$16,4)+'General inputs'!$H$38-1),"",T80/(1+'General inputs'!$H$34)^C80)</f>
        <v>269720.89476344275</v>
      </c>
      <c r="V80" s="47"/>
      <c r="W80" s="31"/>
      <c r="X80" s="31"/>
    </row>
    <row r="81" spans="2:24">
      <c r="B81" s="46"/>
      <c r="C81" s="26">
        <f>IF(D81='General inputs'!$I$16,0,IF(D81&lt;'General inputs'!$I$16,C82-1,C80+1))</f>
        <v>14</v>
      </c>
      <c r="D81" s="26" t="str">
        <f t="shared" si="1"/>
        <v>2036-37</v>
      </c>
      <c r="E81" s="76">
        <f>IF(LEFT(D81,4)*1&gt;LEFT('General inputs'!$I$16,4)+'General inputs'!$H$38-1,"",'ET inputs'!D53)</f>
        <v>172.19858071126146</v>
      </c>
      <c r="F81" s="76">
        <f>IF(LEFT(D81,4)*1&gt;LEFT('General inputs'!$I$16,4)+'General inputs'!$H$38-1,"",E81/(1+'General inputs'!$H$30)^C81)</f>
        <v>113.84354784490958</v>
      </c>
      <c r="G81" s="76">
        <f>IF(LEFT(D81,4)*1&gt;LEFT('General inputs'!$I$16,4)+'General inputs'!$H$38-1,"",E81/(1+'General inputs'!$H$32)^C81)</f>
        <v>96.801369627642629</v>
      </c>
      <c r="H81" s="76">
        <f>IF(LEFT(D81,4)*1&lt;LEFT('General inputs'!$I$16,4)*1,"",IF(LEFT(D81,4)*1&gt;LEFT('General inputs'!$I$16,4)+'General inputs'!$H$38-1,"",E81/(1+'General inputs'!$H$34)^C81))</f>
        <v>96.801369627642629</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amount'!F54*SUM($E$67:E81)</f>
        <v>1127155.6179675646</v>
      </c>
      <c r="R81" s="76">
        <f>IF(OR(LEFT(D81,4)*1&lt;LEFT('General inputs'!$I$16,4)*1,LEFT(D81,4)*1&gt;LEFT('General inputs'!$I$16,4)+'General inputs'!$H$38-1),"",Q81/(1+'General inputs'!$H$34)^C81)</f>
        <v>633630.1214102665</v>
      </c>
      <c r="T81" s="81">
        <f>('Reduction amount'!H54+'Reduction amount'!I54)*SUM($E$67:E81)</f>
        <v>496437.52702922671</v>
      </c>
      <c r="U81" s="76">
        <f>IF(OR(LEFT(D81,4)*1&lt;LEFT('General inputs'!$I$16,4)*1,LEFT(D81,4)*1&gt;LEFT('General inputs'!$I$16,4)+'General inputs'!$H$38-1),"",T81/(1+'General inputs'!$H$34)^C81)</f>
        <v>279072.17558063322</v>
      </c>
      <c r="V81" s="47"/>
      <c r="W81" s="31"/>
      <c r="X81" s="31"/>
    </row>
    <row r="82" spans="2:24">
      <c r="B82" s="46"/>
      <c r="C82" s="26">
        <f>IF(D82='General inputs'!$I$16,0,IF(D82&lt;'General inputs'!$I$16,C83-1,C81+1))</f>
        <v>15</v>
      </c>
      <c r="D82" s="26" t="str">
        <f t="shared" si="1"/>
        <v>2037-38</v>
      </c>
      <c r="E82" s="76">
        <f>IF(LEFT(D82,4)*1&gt;LEFT('General inputs'!$I$16,4)+'General inputs'!$H$38-1,"",'ET inputs'!D54)</f>
        <v>174.818582116779</v>
      </c>
      <c r="F82" s="76">
        <f>IF(LEFT(D82,4)*1&gt;LEFT('General inputs'!$I$16,4)+'General inputs'!$H$38-1,"",E82/(1+'General inputs'!$H$30)^C82)</f>
        <v>112.20939555860878</v>
      </c>
      <c r="G82" s="76">
        <f>IF(LEFT(D82,4)*1&gt;LEFT('General inputs'!$I$16,4)+'General inputs'!$H$38-1,"",E82/(1+'General inputs'!$H$32)^C82)</f>
        <v>94.31305419052282</v>
      </c>
      <c r="H82" s="76">
        <f>IF(LEFT(D82,4)*1&lt;LEFT('General inputs'!$I$16,4)*1,"",IF(LEFT(D82,4)*1&gt;LEFT('General inputs'!$I$16,4)+'General inputs'!$H$38-1,"",E82/(1+'General inputs'!$H$34)^C82))</f>
        <v>94.31305419052282</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amount'!F55*SUM($E$67:E82)</f>
        <v>1211767.8117120857</v>
      </c>
      <c r="R82" s="76">
        <f>IF(OR(LEFT(D82,4)*1&lt;LEFT('General inputs'!$I$16,4)*1,LEFT(D82,4)*1&gt;LEFT('General inputs'!$I$16,4)+'General inputs'!$H$38-1),"",Q82/(1+'General inputs'!$H$34)^C82)</f>
        <v>653737.8458772212</v>
      </c>
      <c r="T82" s="81">
        <f>('Reduction amount'!H55+'Reduction amount'!I55)*SUM($E$67:E82)</f>
        <v>532877.39885289315</v>
      </c>
      <c r="U82" s="76">
        <f>IF(OR(LEFT(D82,4)*1&lt;LEFT('General inputs'!$I$16,4)*1,LEFT(D82,4)*1&gt;LEFT('General inputs'!$I$16,4)+'General inputs'!$H$38-1),"",T82/(1+'General inputs'!$H$34)^C82)</f>
        <v>287482.56842253666</v>
      </c>
      <c r="V82" s="47"/>
      <c r="W82" s="31"/>
      <c r="X82" s="31"/>
    </row>
    <row r="83" spans="2:24">
      <c r="B83" s="46"/>
      <c r="C83" s="26">
        <f>IF(D83='General inputs'!$I$16,0,IF(D83&lt;'General inputs'!$I$16,C84-1,C82+1))</f>
        <v>16</v>
      </c>
      <c r="D83" s="26" t="str">
        <f t="shared" si="1"/>
        <v>2038-39</v>
      </c>
      <c r="E83" s="76">
        <f>IF(LEFT(D83,4)*1&gt;LEFT('General inputs'!$I$16,4)+'General inputs'!$H$38-1,"",'ET inputs'!D55)</f>
        <v>177.47844684368829</v>
      </c>
      <c r="F83" s="76">
        <f>IF(LEFT(D83,4)*1&gt;LEFT('General inputs'!$I$16,4)+'General inputs'!$H$38-1,"",E83/(1+'General inputs'!$H$30)^C83)</f>
        <v>110.598700497121</v>
      </c>
      <c r="G83" s="76">
        <f>IF(LEFT(D83,4)*1&gt;LEFT('General inputs'!$I$16,4)+'General inputs'!$H$38-1,"",E83/(1+'General inputs'!$H$32)^C83)</f>
        <v>91.888701833045076</v>
      </c>
      <c r="H83" s="76">
        <f>IF(LEFT(D83,4)*1&lt;LEFT('General inputs'!$I$16,4)*1,"",IF(LEFT(D83,4)*1&gt;LEFT('General inputs'!$I$16,4)+'General inputs'!$H$38-1,"",E83/(1+'General inputs'!$H$34)^C83))</f>
        <v>91.888701833045076</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amount'!F56*SUM($E$67:E83)</f>
        <v>1297667.3799844307</v>
      </c>
      <c r="R83" s="76">
        <f>IF(OR(LEFT(D83,4)*1&lt;LEFT('General inputs'!$I$16,4)*1,LEFT(D83,4)*1&gt;LEFT('General inputs'!$I$16,4)+'General inputs'!$H$38-1),"",Q83/(1+'General inputs'!$H$34)^C83)</f>
        <v>671861.69970755954</v>
      </c>
      <c r="T83" s="81">
        <f>('Reduction amount'!H56+'Reduction amount'!I56)*SUM($E$67:E83)</f>
        <v>567166.44124360837</v>
      </c>
      <c r="U83" s="76">
        <f>IF(OR(LEFT(D83,4)*1&lt;LEFT('General inputs'!$I$16,4)*1,LEFT(D83,4)*1&gt;LEFT('General inputs'!$I$16,4)+'General inputs'!$H$38-1),"",T83/(1+'General inputs'!$H$34)^C83)</f>
        <v>293647.9833804486</v>
      </c>
      <c r="V83" s="47"/>
      <c r="W83" s="31"/>
      <c r="X83" s="31"/>
    </row>
    <row r="84" spans="2:24">
      <c r="B84" s="46"/>
      <c r="C84" s="26">
        <f>IF(D84='General inputs'!$I$16,0,IF(D84&lt;'General inputs'!$I$16,C85-1,C83+1))</f>
        <v>17</v>
      </c>
      <c r="D84" s="26" t="str">
        <f t="shared" si="1"/>
        <v>2039-40</v>
      </c>
      <c r="E84" s="76">
        <f>IF(LEFT(D84,4)*1&gt;LEFT('General inputs'!$I$16,4)+'General inputs'!$H$38-1,"",'ET inputs'!D56)</f>
        <v>180.1787814124109</v>
      </c>
      <c r="F84" s="76">
        <f>IF(LEFT(D84,4)*1&gt;LEFT('General inputs'!$I$16,4)+'General inputs'!$H$38-1,"",E84/(1+'General inputs'!$H$30)^C84)</f>
        <v>109.01112594677878</v>
      </c>
      <c r="G84" s="76">
        <f>IF(LEFT(D84,4)*1&gt;LEFT('General inputs'!$I$16,4)+'General inputs'!$H$38-1,"",E84/(1+'General inputs'!$H$32)^C84)</f>
        <v>89.526668360300135</v>
      </c>
      <c r="H84" s="76">
        <f>IF(LEFT(D84,4)*1&lt;LEFT('General inputs'!$I$16,4)*1,"",IF(LEFT(D84,4)*1&gt;LEFT('General inputs'!$I$16,4)+'General inputs'!$H$38-1,"",E84/(1+'General inputs'!$H$34)^C84))</f>
        <v>89.526668360300135</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amount'!F57*SUM($E$67:E84)</f>
        <v>1384873.9101880377</v>
      </c>
      <c r="R84" s="76">
        <f>IF(OR(LEFT(D84,4)*1&lt;LEFT('General inputs'!$I$16,4)*1,LEFT(D84,4)*1&gt;LEFT('General inputs'!$I$16,4)+'General inputs'!$H$38-1),"",Q84/(1+'General inputs'!$H$34)^C84)</f>
        <v>688111.80931705667</v>
      </c>
      <c r="T84" s="81">
        <f>('Reduction amount'!H57+'Reduction amount'!I57)*SUM($E$67:E84)</f>
        <v>604394.45464673382</v>
      </c>
      <c r="U84" s="76">
        <f>IF(OR(LEFT(D84,4)*1&lt;LEFT('General inputs'!$I$16,4)*1,LEFT(D84,4)*1&gt;LEFT('General inputs'!$I$16,4)+'General inputs'!$H$38-1),"",T84/(1+'General inputs'!$H$34)^C84)</f>
        <v>300309.62289678073</v>
      </c>
      <c r="V84" s="47"/>
      <c r="W84" s="31"/>
      <c r="X84" s="31"/>
    </row>
    <row r="85" spans="2:24">
      <c r="B85" s="46"/>
      <c r="C85" s="26">
        <f>IF(D85='General inputs'!$I$16,0,IF(D85&lt;'General inputs'!$I$16,C86-1,C84+1))</f>
        <v>18</v>
      </c>
      <c r="D85" s="26" t="str">
        <f t="shared" si="1"/>
        <v>2040-41</v>
      </c>
      <c r="E85" s="76">
        <f>IF(LEFT(D85,4)*1&gt;LEFT('General inputs'!$I$16,4)+'General inputs'!$H$38-1,"",'ET inputs'!D57)</f>
        <v>182.92020157160005</v>
      </c>
      <c r="F85" s="76">
        <f>IF(LEFT(D85,4)*1&gt;LEFT('General inputs'!$I$16,4)+'General inputs'!$H$38-1,"",E85/(1+'General inputs'!$H$30)^C85)</f>
        <v>107.44634002724135</v>
      </c>
      <c r="G85" s="76">
        <f>IF(LEFT(D85,4)*1&gt;LEFT('General inputs'!$I$16,4)+'General inputs'!$H$38-1,"",E85/(1+'General inputs'!$H$32)^C85)</f>
        <v>87.225351842036204</v>
      </c>
      <c r="H85" s="76">
        <f>IF(LEFT(D85,4)*1&lt;LEFT('General inputs'!$I$16,4)*1,"",IF(LEFT(D85,4)*1&gt;LEFT('General inputs'!$I$16,4)+'General inputs'!$H$38-1,"",E85/(1+'General inputs'!$H$34)^C85))</f>
        <v>87.225351842036204</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amount'!F58*SUM($E$67:E85)</f>
        <v>1473407.2877486921</v>
      </c>
      <c r="R85" s="76">
        <f>IF(OR(LEFT(D85,4)*1&lt;LEFT('General inputs'!$I$16,4)*1,LEFT(D85,4)*1&gt;LEFT('General inputs'!$I$16,4)+'General inputs'!$H$38-1),"",Q85/(1+'General inputs'!$H$34)^C85)</f>
        <v>702593.08691060159</v>
      </c>
      <c r="T85" s="81">
        <f>('Reduction amount'!H58+'Reduction amount'!I58)*SUM($E$67:E85)</f>
        <v>642058.53524602612</v>
      </c>
      <c r="U85" s="76">
        <f>IF(OR(LEFT(D85,4)*1&lt;LEFT('General inputs'!$I$16,4)*1,LEFT(D85,4)*1&gt;LEFT('General inputs'!$I$16,4)+'General inputs'!$H$38-1),"",T85/(1+'General inputs'!$H$34)^C85)</f>
        <v>306165.09909155988</v>
      </c>
      <c r="V85" s="47"/>
      <c r="W85" s="31"/>
      <c r="X85" s="31"/>
    </row>
    <row r="86" spans="2:24">
      <c r="B86" s="46"/>
      <c r="C86" s="26">
        <f>IF(D86='General inputs'!$I$16,0,IF(D86&lt;'General inputs'!$I$16,C87-1,C85+1))</f>
        <v>19</v>
      </c>
      <c r="D86" s="26" t="str">
        <f t="shared" si="1"/>
        <v>2041-42</v>
      </c>
      <c r="E86" s="76">
        <f>IF(LEFT(D86,4)*1&gt;LEFT('General inputs'!$I$16,4)+'General inputs'!$H$38-1,"",'ET inputs'!D58)</f>
        <v>185.70333243851562</v>
      </c>
      <c r="F86" s="76">
        <f>IF(LEFT(D86,4)*1&gt;LEFT('General inputs'!$I$16,4)+'General inputs'!$H$38-1,"",E86/(1+'General inputs'!$H$30)^C86)</f>
        <v>105.90401562209514</v>
      </c>
      <c r="G86" s="76">
        <f>IF(LEFT(D86,4)*1&gt;LEFT('General inputs'!$I$16,4)+'General inputs'!$H$38-1,"",E86/(1+'General inputs'!$H$32)^C86)</f>
        <v>84.983191526213574</v>
      </c>
      <c r="H86" s="76">
        <f>IF(LEFT(D86,4)*1&lt;LEFT('General inputs'!$I$16,4)*1,"",IF(LEFT(D86,4)*1&gt;LEFT('General inputs'!$I$16,4)+'General inputs'!$H$38-1,"",E86/(1+'General inputs'!$H$34)^C86))</f>
        <v>84.983191526213574</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amount'!F59*SUM($E$67:E86)</f>
        <v>1563287.7006489336</v>
      </c>
      <c r="R86" s="76">
        <f>IF(OR(LEFT(D86,4)*1&lt;LEFT('General inputs'!$I$16,4)*1,LEFT(D86,4)*1&gt;LEFT('General inputs'!$I$16,4)+'General inputs'!$H$38-1),"",Q86/(1+'General inputs'!$H$34)^C86)</f>
        <v>715405.46058218216</v>
      </c>
      <c r="T86" s="81">
        <f>('Reduction amount'!H59+'Reduction amount'!I59)*SUM($E$67:E86)</f>
        <v>680223.94577823428</v>
      </c>
      <c r="U86" s="76">
        <f>IF(OR(LEFT(D86,4)*1&lt;LEFT('General inputs'!$I$16,4)*1,LEFT(D86,4)*1&gt;LEFT('General inputs'!$I$16,4)+'General inputs'!$H$38-1),"",T86/(1+'General inputs'!$H$34)^C86)</f>
        <v>311290.06198059412</v>
      </c>
      <c r="V86" s="47"/>
      <c r="W86" s="31"/>
      <c r="X86" s="31"/>
    </row>
    <row r="87" spans="2:24">
      <c r="B87" s="46"/>
      <c r="C87" s="26">
        <f>IF(D87='General inputs'!$I$16,0,IF(D87&lt;'General inputs'!$I$16,C88-1,C86+1))</f>
        <v>20</v>
      </c>
      <c r="D87" s="26" t="str">
        <f t="shared" si="1"/>
        <v>2042-43</v>
      </c>
      <c r="E87" s="76">
        <f>IF(LEFT(D87,4)*1&gt;LEFT('General inputs'!$I$16,4)+'General inputs'!$H$38-1,"",'ET inputs'!D59)</f>
        <v>188.52880864156398</v>
      </c>
      <c r="F87" s="76">
        <f>IF(LEFT(D87,4)*1&gt;LEFT('General inputs'!$I$16,4)+'General inputs'!$H$38-1,"",E87/(1+'General inputs'!$H$30)^C87)</f>
        <v>104.38383031046916</v>
      </c>
      <c r="G87" s="76">
        <f>IF(LEFT(D87,4)*1&gt;LEFT('General inputs'!$I$16,4)+'General inputs'!$H$38-1,"",E87/(1+'General inputs'!$H$32)^C87)</f>
        <v>82.798666780502131</v>
      </c>
      <c r="H87" s="76">
        <f>IF(LEFT(D87,4)*1&lt;LEFT('General inputs'!$I$16,4)*1,"",IF(LEFT(D87,4)*1&gt;LEFT('General inputs'!$I$16,4)+'General inputs'!$H$38-1,"",E87/(1+'General inputs'!$H$34)^C87))</f>
        <v>82.798666780502131</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amount'!F60*SUM($E$67:E87)</f>
        <v>1654535.6440314506</v>
      </c>
      <c r="R87" s="76">
        <f>IF(OR(LEFT(D87,4)*1&lt;LEFT('General inputs'!$I$16,4)*1,LEFT(D87,4)*1&gt;LEFT('General inputs'!$I$16,4)+'General inputs'!$H$38-1),"",Q87/(1+'General inputs'!$H$34)^C87)</f>
        <v>726644.09462788783</v>
      </c>
      <c r="T87" s="81">
        <f>('Reduction amount'!H60+'Reduction amount'!I60)*SUM($E$67:E87)</f>
        <v>718902.57425581408</v>
      </c>
      <c r="U87" s="76">
        <f>IF(OR(LEFT(D87,4)*1&lt;LEFT('General inputs'!$I$16,4)*1,LEFT(D87,4)*1&gt;LEFT('General inputs'!$I$16,4)+'General inputs'!$H$38-1),"",T87/(1+'General inputs'!$H$34)^C87)</f>
        <v>315729.86177736527</v>
      </c>
      <c r="V87" s="47"/>
      <c r="W87" s="31"/>
      <c r="X87" s="31"/>
    </row>
    <row r="88" spans="2:24">
      <c r="B88" s="46"/>
      <c r="C88" s="26">
        <f>IF(D88='General inputs'!$I$16,0,IF(D88&lt;'General inputs'!$I$16,C89-1,C87+1))</f>
        <v>21</v>
      </c>
      <c r="D88" s="26" t="str">
        <f t="shared" si="1"/>
        <v>2043-44</v>
      </c>
      <c r="E88" s="76">
        <f>IF(LEFT(D88,4)*1&gt;LEFT('General inputs'!$I$16,4)+'General inputs'!$H$38-1,"",'ET inputs'!D60)</f>
        <v>191.39727446504915</v>
      </c>
      <c r="F88" s="76">
        <f>IF(LEFT(D88,4)*1&gt;LEFT('General inputs'!$I$16,4)+'General inputs'!$H$38-1,"",E88/(1+'General inputs'!$H$30)^C88)</f>
        <v>102.88546629965539</v>
      </c>
      <c r="G88" s="76">
        <f>IF(LEFT(D88,4)*1&gt;LEFT('General inputs'!$I$16,4)+'General inputs'!$H$38-1,"",E88/(1+'General inputs'!$H$32)^C88)</f>
        <v>80.670296061006852</v>
      </c>
      <c r="H88" s="76">
        <f>IF(LEFT(D88,4)*1&lt;LEFT('General inputs'!$I$16,4)*1,"",IF(LEFT(D88,4)*1&gt;LEFT('General inputs'!$I$16,4)+'General inputs'!$H$38-1,"",E88/(1+'General inputs'!$H$34)^C88))</f>
        <v>80.670296061006852</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amount'!F61*SUM($E$67:E88)</f>
        <v>1747171.9248725343</v>
      </c>
      <c r="R88" s="76">
        <f>IF(OR(LEFT(D88,4)*1&lt;LEFT('General inputs'!$I$16,4)*1,LEFT(D88,4)*1&gt;LEFT('General inputs'!$I$16,4)+'General inputs'!$H$38-1),"",Q88/(1+'General inputs'!$H$34)^C88)</f>
        <v>736399.60047960014</v>
      </c>
      <c r="T88" s="81">
        <f>('Reduction amount'!H61+'Reduction amount'!I61)*SUM($E$67:E88)</f>
        <v>758034.36467765179</v>
      </c>
      <c r="U88" s="76">
        <f>IF(OR(LEFT(D88,4)*1&lt;LEFT('General inputs'!$I$16,4)*1,LEFT(D88,4)*1&gt;LEFT('General inputs'!$I$16,4)+'General inputs'!$H$38-1),"",T88/(1+'General inputs'!$H$34)^C88)</f>
        <v>319497.00848080829</v>
      </c>
      <c r="V88" s="47"/>
      <c r="W88" s="31"/>
      <c r="X88" s="31"/>
    </row>
    <row r="89" spans="2:24">
      <c r="B89" s="46"/>
      <c r="C89" s="26">
        <f>IF(D89='General inputs'!$I$16,0,IF(D89&lt;'General inputs'!$I$16,C90-1,C88+1))</f>
        <v>22</v>
      </c>
      <c r="D89" s="26" t="str">
        <f t="shared" si="1"/>
        <v>2044-45</v>
      </c>
      <c r="E89" s="76">
        <f>IF(LEFT(D89,4)*1&gt;LEFT('General inputs'!$I$16,4)+'General inputs'!$H$38-1,"",'ET inputs'!D61)</f>
        <v>194.30938399603474</v>
      </c>
      <c r="F89" s="76">
        <f>IF(LEFT(D89,4)*1&gt;LEFT('General inputs'!$I$16,4)+'General inputs'!$H$38-1,"",E89/(1+'General inputs'!$H$30)^C89)</f>
        <v>101.40861035864521</v>
      </c>
      <c r="G89" s="76">
        <f>IF(LEFT(D89,4)*1&gt;LEFT('General inputs'!$I$16,4)+'General inputs'!$H$38-1,"",E89/(1+'General inputs'!$H$32)^C89)</f>
        <v>78.596635907461604</v>
      </c>
      <c r="H89" s="76">
        <f>IF(LEFT(D89,4)*1&lt;LEFT('General inputs'!$I$16,4)*1,"",IF(LEFT(D89,4)*1&gt;LEFT('General inputs'!$I$16,4)+'General inputs'!$H$38-1,"",E89/(1+'General inputs'!$H$34)^C89))</f>
        <v>78.596635907461604</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amount'!F62*SUM($E$67:E89)</f>
        <v>1841217.6667266153</v>
      </c>
      <c r="R89" s="76">
        <f>IF(OR(LEFT(D89,4)*1&lt;LEFT('General inputs'!$I$16,4)*1,LEFT(D89,4)*1&gt;LEFT('General inputs'!$I$16,4)+'General inputs'!$H$38-1),"",Q89/(1+'General inputs'!$H$34)^C89)</f>
        <v>744758.23865022871</v>
      </c>
      <c r="T89" s="81">
        <f>('Reduction amount'!H62+'Reduction amount'!I62)*SUM($E$67:E89)</f>
        <v>797696.14160310733</v>
      </c>
      <c r="U89" s="76">
        <f>IF(OR(LEFT(D89,4)*1&lt;LEFT('General inputs'!$I$16,4)*1,LEFT(D89,4)*1&gt;LEFT('General inputs'!$I$16,4)+'General inputs'!$H$38-1),"",T89/(1+'General inputs'!$H$34)^C89)</f>
        <v>322661.89062513731</v>
      </c>
      <c r="V89" s="47"/>
      <c r="W89" s="31"/>
      <c r="X89" s="31"/>
    </row>
    <row r="90" spans="2:24">
      <c r="B90" s="46"/>
      <c r="C90" s="26">
        <f>IF(D90='General inputs'!$I$16,0,IF(D90&lt;'General inputs'!$I$16,C91-1,C89+1))</f>
        <v>23</v>
      </c>
      <c r="D90" s="26" t="str">
        <f t="shared" si="1"/>
        <v>2045-46</v>
      </c>
      <c r="E90" s="76">
        <f>IF(LEFT(D90,4)*1&gt;LEFT('General inputs'!$I$16,4)+'General inputs'!$H$38-1,"",'ET inputs'!D62)</f>
        <v>197.26580127353373</v>
      </c>
      <c r="F90" s="76">
        <f>IF(LEFT(D90,4)*1&gt;LEFT('General inputs'!$I$16,4)+'General inputs'!$H$38-1,"",E90/(1+'General inputs'!$H$30)^C90)</f>
        <v>99.95295375267149</v>
      </c>
      <c r="G90" s="76">
        <f>IF(LEFT(D90,4)*1&gt;LEFT('General inputs'!$I$16,4)+'General inputs'!$H$38-1,"",E90/(1+'General inputs'!$H$32)^C90)</f>
        <v>76.576279964293064</v>
      </c>
      <c r="H90" s="76">
        <f>IF(LEFT(D90,4)*1&lt;LEFT('General inputs'!$I$16,4)*1,"",IF(LEFT(D90,4)*1&gt;LEFT('General inputs'!$I$16,4)+'General inputs'!$H$38-1,"",E90/(1+'General inputs'!$H$34)^C90))</f>
        <v>76.576279964293064</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amount'!F63*SUM($E$67:E90)</f>
        <v>1936694.3145430055</v>
      </c>
      <c r="R90" s="76">
        <f>IF(OR(LEFT(D90,4)*1&lt;LEFT('General inputs'!$I$16,4)*1,LEFT(D90,4)*1&gt;LEFT('General inputs'!$I$16,4)+'General inputs'!$H$38-1),"",Q90/(1+'General inputs'!$H$34)^C90)</f>
        <v>751802.11206531746</v>
      </c>
      <c r="T90" s="81">
        <f>('Reduction amount'!H63+'Reduction amount'!I63)*SUM($E$67:E90)</f>
        <v>890799.35599909897</v>
      </c>
      <c r="U90" s="76">
        <f>IF(OR(LEFT(D90,4)*1&lt;LEFT('General inputs'!$I$16,4)*1,LEFT(D90,4)*1&gt;LEFT('General inputs'!$I$16,4)+'General inputs'!$H$38-1),"",T90/(1+'General inputs'!$H$34)^C90)</f>
        <v>345797.90534706815</v>
      </c>
      <c r="V90" s="47"/>
      <c r="W90" s="31"/>
      <c r="X90" s="31"/>
    </row>
    <row r="91" spans="2:24">
      <c r="B91" s="46"/>
      <c r="C91" s="26">
        <f>IF(D91='General inputs'!$I$16,0,IF(D91&lt;'General inputs'!$I$16,C92-1,C90+1))</f>
        <v>24</v>
      </c>
      <c r="D91" s="26" t="str">
        <f t="shared" si="1"/>
        <v>2046-47</v>
      </c>
      <c r="E91" s="76">
        <f>IF(LEFT(D91,4)*1&gt;LEFT('General inputs'!$I$16,4)+'General inputs'!$H$38-1,"",'ET inputs'!D63)</f>
        <v>200.26720043991006</v>
      </c>
      <c r="F91" s="76">
        <f>IF(LEFT(D91,4)*1&gt;LEFT('General inputs'!$I$16,4)+'General inputs'!$H$38-1,"",E91/(1+'General inputs'!$H$30)^C91)</f>
        <v>98.51819217865841</v>
      </c>
      <c r="G91" s="76">
        <f>IF(LEFT(D91,4)*1&gt;LEFT('General inputs'!$I$16,4)+'General inputs'!$H$38-1,"",E91/(1+'General inputs'!$H$32)^C91)</f>
        <v>74.607858026823024</v>
      </c>
      <c r="H91" s="76">
        <f>IF(LEFT(D91,4)*1&lt;LEFT('General inputs'!$I$16,4)*1,"",IF(LEFT(D91,4)*1&gt;LEFT('General inputs'!$I$16,4)+'General inputs'!$H$38-1,"",E91/(1+'General inputs'!$H$34)^C91))</f>
        <v>74.607858026823024</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amount'!F64*SUM($E$67:E91)</f>
        <v>2033623.639555922</v>
      </c>
      <c r="R91" s="76">
        <f>IF(OR(LEFT(D91,4)*1&lt;LEFT('General inputs'!$I$16,4)*1,LEFT(D91,4)*1&gt;LEFT('General inputs'!$I$16,4)+'General inputs'!$H$38-1),"",Q91/(1+'General inputs'!$H$34)^C91)</f>
        <v>757609.35114037327</v>
      </c>
      <c r="T91" s="81">
        <f>('Reduction amount'!H64+'Reduction amount'!I64)*SUM($E$67:E91)</f>
        <v>933366.02332841419</v>
      </c>
      <c r="U91" s="76">
        <f>IF(OR(LEFT(D91,4)*1&lt;LEFT('General inputs'!$I$16,4)*1,LEFT(D91,4)*1&gt;LEFT('General inputs'!$I$16,4)+'General inputs'!$H$38-1),"",T91/(1+'General inputs'!$H$34)^C91)</f>
        <v>347717.64723620354</v>
      </c>
      <c r="V91" s="47"/>
      <c r="W91" s="31"/>
      <c r="X91" s="31"/>
    </row>
    <row r="92" spans="2:24">
      <c r="B92" s="46"/>
      <c r="C92" s="26">
        <f>IF(D92='General inputs'!$I$16,0,IF(D92&lt;'General inputs'!$I$16,C93-1,C91+1))</f>
        <v>25</v>
      </c>
      <c r="D92" s="26" t="str">
        <f t="shared" si="1"/>
        <v>2047-48</v>
      </c>
      <c r="E92" s="76">
        <f>IF(LEFT(D92,4)*1&gt;LEFT('General inputs'!$I$16,4)+'General inputs'!$H$38-1,"",'ET inputs'!D64)</f>
        <v>203.3142658946017</v>
      </c>
      <c r="F92" s="76">
        <f>IF(LEFT(D92,4)*1&gt;LEFT('General inputs'!$I$16,4)+'General inputs'!$H$38-1,"",E92/(1+'General inputs'!$H$30)^C92)</f>
        <v>97.104025701607682</v>
      </c>
      <c r="G92" s="76">
        <f>IF(LEFT(D92,4)*1&gt;LEFT('General inputs'!$I$16,4)+'General inputs'!$H$38-1,"",E92/(1+'General inputs'!$H$32)^C92)</f>
        <v>72.690035111996679</v>
      </c>
      <c r="H92" s="76">
        <f>IF(LEFT(D92,4)*1&lt;LEFT('General inputs'!$I$16,4)*1,"",IF(LEFT(D92,4)*1&gt;LEFT('General inputs'!$I$16,4)+'General inputs'!$H$38-1,"",E92/(1+'General inputs'!$H$34)^C92))</f>
        <v>72.690035111996679</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amount'!F65*SUM($E$67:E92)</f>
        <v>2132027.7442489094</v>
      </c>
      <c r="R92" s="76">
        <f>IF(OR(LEFT(D92,4)*1&lt;LEFT('General inputs'!$I$16,4)*1,LEFT(D92,4)*1&gt;LEFT('General inputs'!$I$16,4)+'General inputs'!$H$38-1),"",Q92/(1+'General inputs'!$H$34)^C92)</f>
        <v>762254.29094849946</v>
      </c>
      <c r="T92" s="81">
        <f>('Reduction amount'!H65+'Reduction amount'!I65)*SUM($E$67:E92)</f>
        <v>976415.84667399421</v>
      </c>
      <c r="U92" s="76">
        <f>IF(OR(LEFT(D92,4)*1&lt;LEFT('General inputs'!$I$16,4)*1,LEFT(D92,4)*1&gt;LEFT('General inputs'!$I$16,4)+'General inputs'!$H$38-1),"",T92/(1+'General inputs'!$H$34)^C92)</f>
        <v>349093.56638769497</v>
      </c>
      <c r="V92" s="47"/>
      <c r="W92" s="31"/>
      <c r="X92" s="31"/>
    </row>
    <row r="93" spans="2:24">
      <c r="B93" s="46"/>
      <c r="C93" s="26">
        <f>IF(D93='General inputs'!$I$16,0,IF(D93&lt;'General inputs'!$I$16,C94-1,C92+1))</f>
        <v>26</v>
      </c>
      <c r="D93" s="26" t="str">
        <f t="shared" si="1"/>
        <v>2048-49</v>
      </c>
      <c r="E93" s="76">
        <f>IF(LEFT(D93,4)*1&gt;LEFT('General inputs'!$I$16,4)+'General inputs'!$H$38-1,"",'ET inputs'!D65)</f>
        <v>206.40769245018961</v>
      </c>
      <c r="F93" s="76">
        <f>IF(LEFT(D93,4)*1&gt;LEFT('General inputs'!$I$16,4)+'General inputs'!$H$38-1,"",E93/(1+'General inputs'!$H$30)^C93)</f>
        <v>95.710158691901327</v>
      </c>
      <c r="G93" s="76">
        <f>IF(LEFT(D93,4)*1&gt;LEFT('General inputs'!$I$16,4)+'General inputs'!$H$38-1,"",E93/(1+'General inputs'!$H$32)^C93)</f>
        <v>70.821510553000252</v>
      </c>
      <c r="H93" s="76">
        <f>IF(LEFT(D93,4)*1&lt;LEFT('General inputs'!$I$16,4)*1,"",IF(LEFT(D93,4)*1&gt;LEFT('General inputs'!$I$16,4)+'General inputs'!$H$38-1,"",E93/(1+'General inputs'!$H$34)^C93))</f>
        <v>70.821510553000252</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amount'!F66*SUM($E$67:E93)</f>
        <v>2231929.0673948009</v>
      </c>
      <c r="R93" s="76">
        <f>IF(OR(LEFT(D93,4)*1&lt;LEFT('General inputs'!$I$16,4)*1,LEFT(D93,4)*1&gt;LEFT('General inputs'!$I$16,4)+'General inputs'!$H$38-1),"",Q93/(1+'General inputs'!$H$34)^C93)</f>
        <v>765807.6408087071</v>
      </c>
      <c r="T93" s="81">
        <f>('Reduction amount'!H66+'Reduction amount'!I66)*SUM($E$67:E93)</f>
        <v>1020000.80664681</v>
      </c>
      <c r="U93" s="76">
        <f>IF(OR(LEFT(D93,4)*1&lt;LEFT('General inputs'!$I$16,4)*1,LEFT(D93,4)*1&gt;LEFT('General inputs'!$I$16,4)+'General inputs'!$H$38-1),"",T93/(1+'General inputs'!$H$34)^C93)</f>
        <v>349977.25634396268</v>
      </c>
      <c r="V93" s="47"/>
      <c r="W93" s="31"/>
      <c r="X93" s="31"/>
    </row>
    <row r="94" spans="2:24">
      <c r="B94" s="46"/>
      <c r="C94" s="26">
        <f>IF(D94='General inputs'!$I$16,0,IF(D94&lt;'General inputs'!$I$16,C95-1,C93+1))</f>
        <v>27</v>
      </c>
      <c r="D94" s="26" t="str">
        <f t="shared" si="1"/>
        <v>2049-50</v>
      </c>
      <c r="E94" s="76">
        <f>IF(LEFT(D94,4)*1&gt;LEFT('General inputs'!$I$16,4)+'General inputs'!$H$38-1,"",'ET inputs'!D66)</f>
        <v>209.54818549081753</v>
      </c>
      <c r="F94" s="76">
        <f>IF(LEFT(D94,4)*1&gt;LEFT('General inputs'!$I$16,4)+'General inputs'!$H$38-1,"",E94/(1+'General inputs'!$H$30)^C94)</f>
        <v>94.336299763493031</v>
      </c>
      <c r="G94" s="76">
        <f>IF(LEFT(D94,4)*1&gt;LEFT('General inputs'!$I$16,4)+'General inputs'!$H$38-1,"",E94/(1+'General inputs'!$H$32)^C94)</f>
        <v>69.001017117143519</v>
      </c>
      <c r="H94" s="76">
        <f>IF(LEFT(D94,4)*1&lt;LEFT('General inputs'!$I$16,4)*1,"",IF(LEFT(D94,4)*1&gt;LEFT('General inputs'!$I$16,4)+'General inputs'!$H$38-1,"",E94/(1+'General inputs'!$H$34)^C94))</f>
        <v>69.001017117143519</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amount'!F67*SUM($E$67:E94)</f>
        <v>2333350.3891723566</v>
      </c>
      <c r="R94" s="76">
        <f>IF(OR(LEFT(D94,4)*1&lt;LEFT('General inputs'!$I$16,4)*1,LEFT(D94,4)*1&gt;LEFT('General inputs'!$I$16,4)+'General inputs'!$H$38-1),"",Q94/(1+'General inputs'!$H$34)^C94)</f>
        <v>768336.64661167155</v>
      </c>
      <c r="T94" s="81">
        <f>('Reduction amount'!H67+'Reduction amount'!I67)*SUM($E$67:E94)</f>
        <v>1064084.9130126499</v>
      </c>
      <c r="U94" s="76">
        <f>IF(OR(LEFT(D94,4)*1&lt;LEFT('General inputs'!$I$16,4)*1,LEFT(D94,4)*1&gt;LEFT('General inputs'!$I$16,4)+'General inputs'!$H$38-1),"",T94/(1+'General inputs'!$H$34)^C94)</f>
        <v>350386.91041348787</v>
      </c>
      <c r="V94" s="47"/>
      <c r="W94" s="31"/>
      <c r="X94" s="31"/>
    </row>
    <row r="95" spans="2:24">
      <c r="B95" s="46"/>
      <c r="C95" s="26">
        <f>IF(D95='General inputs'!$I$16,0,IF(D95&lt;'General inputs'!$I$16,C96-1,C94+1))</f>
        <v>28</v>
      </c>
      <c r="D95" s="26" t="str">
        <f t="shared" si="1"/>
        <v>2050-51</v>
      </c>
      <c r="E95" s="76">
        <f>IF(LEFT(D95,4)*1&gt;LEFT('General inputs'!$I$16,4)+'General inputs'!$H$38-1,"",'ET inputs'!D67)</f>
        <v>212.73646113306313</v>
      </c>
      <c r="F95" s="76">
        <f>IF(LEFT(D95,4)*1&gt;LEFT('General inputs'!$I$16,4)+'General inputs'!$H$38-1,"",E95/(1+'General inputs'!$H$30)^C95)</f>
        <v>92.982161713005667</v>
      </c>
      <c r="G95" s="76">
        <f>IF(LEFT(D95,4)*1&gt;LEFT('General inputs'!$I$16,4)+'General inputs'!$H$38-1,"",E95/(1+'General inputs'!$H$32)^C95)</f>
        <v>67.227320146431637</v>
      </c>
      <c r="H95" s="76">
        <f>IF(LEFT(D95,4)*1&lt;LEFT('General inputs'!$I$16,4)*1,"",IF(LEFT(D95,4)*1&gt;LEFT('General inputs'!$I$16,4)+'General inputs'!$H$38-1,"",E95/(1+'General inputs'!$H$34)^C95))</f>
        <v>67.227320146431637</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amount'!F68*SUM($E$67:E95)</f>
        <v>2436314.8363607591</v>
      </c>
      <c r="R95" s="76">
        <f>IF(OR(LEFT(D95,4)*1&lt;LEFT('General inputs'!$I$16,4)*1,LEFT(D95,4)*1&gt;LEFT('General inputs'!$I$16,4)+'General inputs'!$H$38-1),"",Q95/(1+'General inputs'!$H$34)^C95)</f>
        <v>769905.24618664198</v>
      </c>
      <c r="T95" s="81">
        <f>('Reduction amount'!H68+'Reduction amount'!I68)*SUM($E$67:E95)</f>
        <v>1108674.2617943331</v>
      </c>
      <c r="U95" s="76">
        <f>IF(OR(LEFT(D95,4)*1&lt;LEFT('General inputs'!$I$16,4)*1,LEFT(D95,4)*1&gt;LEFT('General inputs'!$I$16,4)+'General inputs'!$H$38-1),"",T95/(1+'General inputs'!$H$34)^C95)</f>
        <v>350354.60841447918</v>
      </c>
      <c r="V95" s="47"/>
      <c r="W95" s="31"/>
      <c r="X95" s="31"/>
    </row>
    <row r="96" spans="2:24">
      <c r="B96" s="46"/>
      <c r="C96" s="26">
        <f>IF(D96='General inputs'!$I$16,0,IF(D96&lt;'General inputs'!$I$16,C97-1,C95+1))</f>
        <v>29</v>
      </c>
      <c r="D96" s="26" t="str">
        <f t="shared" si="1"/>
        <v>2051-52</v>
      </c>
      <c r="E96" s="76">
        <f>IF(LEFT(D96,4)*1&gt;LEFT('General inputs'!$I$16,4)+'General inputs'!$H$38-1,"",'ET inputs'!D68)</f>
        <v>215.97324638919963</v>
      </c>
      <c r="F96" s="76">
        <f>IF(LEFT(D96,4)*1&gt;LEFT('General inputs'!$I$16,4)+'General inputs'!$H$38-1,"",E96/(1+'General inputs'!$H$30)^C96)</f>
        <v>91.647461459677402</v>
      </c>
      <c r="G96" s="76">
        <f>IF(LEFT(D96,4)*1&gt;LEFT('General inputs'!$I$16,4)+'General inputs'!$H$38-1,"",E96/(1+'General inputs'!$H$32)^C96)</f>
        <v>65.499216720209816</v>
      </c>
      <c r="H96" s="76">
        <f>IF(LEFT(D96,4)*1&lt;LEFT('General inputs'!$I$16,4)*1,"",IF(LEFT(D96,4)*1&gt;LEFT('General inputs'!$I$16,4)+'General inputs'!$H$38-1,"",E96/(1+'General inputs'!$H$34)^C96))</f>
        <v>65.499216720209816</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amount'!F69*SUM($E$67:E96)</f>
        <v>2540845.8876131317</v>
      </c>
      <c r="R96" s="76">
        <f>IF(OR(LEFT(D96,4)*1&lt;LEFT('General inputs'!$I$16,4)*1,LEFT(D96,4)*1&gt;LEFT('General inputs'!$I$16,4)+'General inputs'!$H$38-1),"",Q96/(1+'General inputs'!$H$34)^C96)</f>
        <v>770574.21800068324</v>
      </c>
      <c r="T96" s="81">
        <f>('Reduction amount'!H69+'Reduction amount'!I69)*SUM($E$67:E96)</f>
        <v>1153827.5157820047</v>
      </c>
      <c r="U96" s="76">
        <f>IF(OR(LEFT(D96,4)*1&lt;LEFT('General inputs'!$I$16,4)*1,LEFT(D96,4)*1&gt;LEFT('General inputs'!$I$16,4)+'General inputs'!$H$38-1),"",T96/(1+'General inputs'!$H$34)^C96)</f>
        <v>349926.66812886402</v>
      </c>
      <c r="V96" s="47"/>
      <c r="W96" s="31"/>
      <c r="X96" s="31"/>
    </row>
    <row r="97" spans="2:2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D12" sqref="D12"/>
    </sheetView>
  </sheetViews>
  <sheetFormatPr defaultRowHeight="11.5"/>
  <cols>
    <col min="1" max="3" width="2.69921875" customWidth="1"/>
    <col min="4" max="6" width="15.69921875" customWidth="1"/>
    <col min="7" max="7" width="18.8984375" customWidth="1"/>
    <col min="8" max="14" width="15.69921875" customWidth="1"/>
  </cols>
  <sheetData>
    <row r="3" spans="3:13" ht="20">
      <c r="C3" s="50" t="s">
        <v>57</v>
      </c>
    </row>
    <row r="5" spans="3:13" ht="15.5">
      <c r="C5" s="2" t="s">
        <v>124</v>
      </c>
      <c r="H5" s="256" t="s">
        <v>128</v>
      </c>
      <c r="I5" s="257"/>
      <c r="L5" s="6" t="str">
        <f>"Do not delete - data validation for option at "&amp;ADDRESS(ROW(H5),COLUMN(H5))</f>
        <v>Do not delete - data validation for option at $H$5</v>
      </c>
    </row>
    <row r="6" spans="3:13">
      <c r="L6" t="s">
        <v>125</v>
      </c>
      <c r="M6" t="s">
        <v>126</v>
      </c>
    </row>
    <row r="7" spans="3:13" ht="15.5">
      <c r="C7" s="2" t="s">
        <v>75</v>
      </c>
      <c r="H7" s="258" t="s">
        <v>280</v>
      </c>
      <c r="I7" s="257"/>
      <c r="L7" s="36" t="s">
        <v>127</v>
      </c>
      <c r="M7" s="109">
        <v>0</v>
      </c>
    </row>
    <row r="8" spans="3:13">
      <c r="L8" s="37" t="s">
        <v>128</v>
      </c>
      <c r="M8" s="110">
        <v>0.03</v>
      </c>
    </row>
    <row r="9" spans="3:13" ht="15.5">
      <c r="C9" s="2" t="s">
        <v>138</v>
      </c>
      <c r="H9" s="258" t="s">
        <v>279</v>
      </c>
      <c r="I9" s="257"/>
      <c r="L9" s="38" t="s">
        <v>129</v>
      </c>
      <c r="M9" s="111">
        <v>0.03</v>
      </c>
    </row>
    <row r="11" spans="3:13" ht="15.5">
      <c r="C11" s="2" t="s">
        <v>137</v>
      </c>
      <c r="H11" s="258" t="s">
        <v>139</v>
      </c>
      <c r="I11" s="257"/>
    </row>
    <row r="12" spans="3:13">
      <c r="L12" s="6" t="str">
        <f>"Do not delete - data validation for options at "&amp;ADDRESS(ROW(H11),COLUMN(H11))</f>
        <v>Do not delete - data validation for options at $H$11</v>
      </c>
    </row>
    <row r="13" spans="3:13">
      <c r="L13" s="36" t="s">
        <v>139</v>
      </c>
    </row>
    <row r="14" spans="3:13" ht="15.5">
      <c r="C14" s="2" t="s">
        <v>86</v>
      </c>
      <c r="I14" s="88" t="s">
        <v>40</v>
      </c>
      <c r="L14" s="37" t="s">
        <v>140</v>
      </c>
    </row>
    <row r="15" spans="3:13">
      <c r="L15" s="38" t="s">
        <v>141</v>
      </c>
    </row>
    <row r="16" spans="3:13">
      <c r="D16" s="6" t="s">
        <v>219</v>
      </c>
      <c r="I16" s="42" t="s">
        <v>44</v>
      </c>
    </row>
    <row r="17" spans="3:12">
      <c r="D17" s="6"/>
    </row>
    <row r="18" spans="3:1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c r="L19" s="139" t="s">
        <v>15</v>
      </c>
    </row>
    <row r="20" spans="3:12">
      <c r="L20" s="37" t="s">
        <v>99</v>
      </c>
    </row>
    <row r="21" spans="3:12">
      <c r="D21" s="6" t="s">
        <v>39</v>
      </c>
      <c r="L21" s="37" t="s">
        <v>42</v>
      </c>
    </row>
    <row r="22" spans="3:12">
      <c r="L22" s="37" t="s">
        <v>43</v>
      </c>
    </row>
    <row r="23" spans="3:12">
      <c r="D23" s="57" t="s">
        <v>55</v>
      </c>
      <c r="H23" s="58">
        <v>25569</v>
      </c>
      <c r="L23" s="37" t="s">
        <v>44</v>
      </c>
    </row>
    <row r="24" spans="3:12">
      <c r="D24" s="57" t="s">
        <v>56</v>
      </c>
      <c r="H24" s="58">
        <v>35064</v>
      </c>
      <c r="L24" s="37" t="s">
        <v>45</v>
      </c>
    </row>
    <row r="25" spans="3:12">
      <c r="L25" s="37" t="s">
        <v>46</v>
      </c>
    </row>
    <row r="26" spans="3:12">
      <c r="L26" s="37" t="s">
        <v>47</v>
      </c>
    </row>
    <row r="27" spans="3:12">
      <c r="L27" s="37" t="s">
        <v>48</v>
      </c>
    </row>
    <row r="28" spans="3:12" ht="15.5">
      <c r="C28" s="2" t="s">
        <v>85</v>
      </c>
      <c r="L28" s="37" t="s">
        <v>49</v>
      </c>
    </row>
    <row r="29" spans="3:12">
      <c r="L29" s="37" t="s">
        <v>50</v>
      </c>
    </row>
    <row r="30" spans="3:12">
      <c r="D30" s="6" t="s">
        <v>111</v>
      </c>
      <c r="H30" s="60">
        <f>INDEX($M$7:$M$12,MATCH($H$5,$L$7:$L$12))</f>
        <v>0.03</v>
      </c>
      <c r="L30" s="37" t="s">
        <v>51</v>
      </c>
    </row>
    <row r="31" spans="3:12" ht="12" customHeight="1">
      <c r="C31" s="2"/>
      <c r="D31" s="6"/>
      <c r="H31" s="29"/>
      <c r="L31" s="38" t="s">
        <v>52</v>
      </c>
    </row>
    <row r="32" spans="3:12" ht="12" customHeight="1">
      <c r="C32" s="2"/>
      <c r="D32" s="5" t="s">
        <v>112</v>
      </c>
      <c r="H32" s="141">
        <v>4.2000000000000003E-2</v>
      </c>
    </row>
    <row r="33" spans="3:12" ht="12" customHeight="1">
      <c r="D33" s="6"/>
      <c r="H33" s="29"/>
    </row>
    <row r="34" spans="3:12" ht="12" customHeight="1">
      <c r="D34" s="5" t="s">
        <v>92</v>
      </c>
      <c r="H34" s="141">
        <v>4.2000000000000003E-2</v>
      </c>
    </row>
    <row r="35" spans="3:12" ht="12" customHeight="1">
      <c r="C35" s="2"/>
    </row>
    <row r="36" spans="3:12" ht="12" customHeight="1">
      <c r="C36" s="2"/>
      <c r="D36" s="6" t="s">
        <v>113</v>
      </c>
      <c r="H36" s="55">
        <v>181</v>
      </c>
      <c r="L36" s="6" t="str">
        <f>"Do not delete - data validation for option at "&amp;ADDRESS(ROW(H42),COLUMN(H42))</f>
        <v>Do not delete - data validation for option at $H$42</v>
      </c>
    </row>
    <row r="37" spans="3:12" ht="12" customHeight="1">
      <c r="C37" s="2"/>
      <c r="L37" s="36" t="s">
        <v>27</v>
      </c>
    </row>
    <row r="38" spans="3:12" ht="12" customHeight="1">
      <c r="C38" s="2"/>
      <c r="D38" s="6" t="s">
        <v>23</v>
      </c>
      <c r="H38" s="61">
        <v>30</v>
      </c>
      <c r="L38" s="37" t="s">
        <v>28</v>
      </c>
    </row>
    <row r="39" spans="3:12" ht="12" customHeight="1">
      <c r="C39" s="2"/>
      <c r="L39" s="38" t="s">
        <v>29</v>
      </c>
    </row>
    <row r="40" spans="3:12" ht="12" customHeight="1">
      <c r="D40" s="6" t="s">
        <v>41</v>
      </c>
      <c r="I40" s="42" t="s">
        <v>42</v>
      </c>
    </row>
    <row r="42" spans="3:12">
      <c r="D42" s="6" t="s">
        <v>26</v>
      </c>
      <c r="H42" s="140" t="s">
        <v>27</v>
      </c>
    </row>
    <row r="43" spans="3:12">
      <c r="D43" s="6"/>
    </row>
    <row r="47" spans="3:12" ht="15.5">
      <c r="C47" s="2"/>
    </row>
    <row r="49" spans="6:6">
      <c r="F49" s="27"/>
    </row>
    <row r="50" spans="6:6">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L22" sqref="L22"/>
    </sheetView>
  </sheetViews>
  <sheetFormatPr defaultColWidth="28" defaultRowHeight="11.5"/>
  <cols>
    <col min="1" max="2" width="2.69921875" customWidth="1"/>
    <col min="3" max="3" width="15.69921875" customWidth="1"/>
    <col min="4" max="4" width="49.69921875" customWidth="1"/>
    <col min="5" max="5" width="17.09765625" customWidth="1"/>
    <col min="6" max="6" width="25.8984375" customWidth="1"/>
    <col min="7" max="7" width="2.69921875" customWidth="1"/>
    <col min="8" max="8" width="25.8984375" customWidth="1"/>
    <col min="9" max="9" width="15.69921875" style="179"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c r="E1" s="27"/>
    </row>
    <row r="2" spans="3:9">
      <c r="E2" s="27"/>
    </row>
    <row r="3" spans="3:9" ht="20">
      <c r="C3" s="50" t="s">
        <v>201</v>
      </c>
    </row>
    <row r="6" spans="3:9">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c r="C7" s="104" t="str">
        <f ca="1">"Hyperlink to the '"&amp;MID(CELL("filename",'Asset exclusions'!A1),FIND("]",CELL("filename",'Asset exclusions'!A1))+1,255)&amp;"' worksheet:"</f>
        <v>Hyperlink to the 'Asset exclusions' worksheet:</v>
      </c>
      <c r="E7" s="134" t="s">
        <v>187</v>
      </c>
      <c r="I7" s="180"/>
    </row>
    <row r="8" spans="3:9">
      <c r="C8" s="104"/>
      <c r="E8" s="134"/>
      <c r="I8" s="180"/>
    </row>
    <row r="9" spans="3:9">
      <c r="C9" s="104" t="s">
        <v>242</v>
      </c>
      <c r="E9" s="134"/>
      <c r="I9" s="180"/>
    </row>
    <row r="10" spans="3:9">
      <c r="C10" s="104" t="s">
        <v>245</v>
      </c>
      <c r="E10" s="134"/>
      <c r="I10" s="180"/>
    </row>
    <row r="11" spans="3:9">
      <c r="C11" s="104" t="s">
        <v>244</v>
      </c>
      <c r="E11" s="134"/>
      <c r="I11" s="180"/>
    </row>
    <row r="12" spans="3:9">
      <c r="C12" s="104" t="s">
        <v>243</v>
      </c>
      <c r="E12" s="134"/>
      <c r="I12" s="180"/>
    </row>
    <row r="13" spans="3:9">
      <c r="H13" s="27"/>
      <c r="I13" s="180"/>
    </row>
    <row r="14" spans="3:9">
      <c r="C14" s="6" t="s">
        <v>54</v>
      </c>
      <c r="H14" s="27"/>
      <c r="I14" s="180"/>
    </row>
    <row r="15" spans="3:9">
      <c r="C15" s="57" t="s">
        <v>58</v>
      </c>
      <c r="E15" s="82">
        <f>'General inputs'!$H$23</f>
        <v>25569</v>
      </c>
      <c r="H15" s="27"/>
      <c r="I15" s="180"/>
    </row>
    <row r="16" spans="3:9">
      <c r="C16" s="57" t="s">
        <v>59</v>
      </c>
      <c r="E16" s="83">
        <f>'General inputs'!$H$24</f>
        <v>35064</v>
      </c>
      <c r="H16" s="27"/>
      <c r="I16" s="180"/>
    </row>
    <row r="17" spans="3:18">
      <c r="I17" s="180"/>
      <c r="J17" s="224"/>
    </row>
    <row r="18" spans="3:18" ht="15.5">
      <c r="C18" s="2" t="s">
        <v>207</v>
      </c>
      <c r="I18" s="180"/>
    </row>
    <row r="19" spans="3:18">
      <c r="I19" s="180"/>
    </row>
    <row r="20" spans="3:18">
      <c r="C20" s="6" t="s">
        <v>16</v>
      </c>
      <c r="H20" s="6" t="s">
        <v>17</v>
      </c>
      <c r="I20" s="181"/>
      <c r="L20" s="6" t="s">
        <v>18</v>
      </c>
      <c r="Q20" s="214" t="s">
        <v>276</v>
      </c>
    </row>
    <row r="21" spans="3:18" ht="46">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t="s">
        <v>281</v>
      </c>
      <c r="E22" s="162">
        <v>25569</v>
      </c>
      <c r="F22" s="163" t="str">
        <f>IF(E22="","-",IF(OR(E22&lt;$E$15,E22&gt;$E$16),"ERROR - date outside of range","Date check - OK"))</f>
        <v>Date check - OK</v>
      </c>
      <c r="G22" s="68"/>
      <c r="H22" s="162" t="s">
        <v>293</v>
      </c>
      <c r="I22" s="173">
        <v>20414.77563211487</v>
      </c>
      <c r="J22" s="168">
        <f>IFERROR(MIN('MP Calculations'!$E$30/I22,1),"-")</f>
        <v>0.40513348981719682</v>
      </c>
      <c r="K22" s="68"/>
      <c r="L22" s="158">
        <v>2.8998119999999998</v>
      </c>
      <c r="M22" s="183" t="s">
        <v>294</v>
      </c>
      <c r="N22" s="183">
        <v>192.78728599999999</v>
      </c>
      <c r="O22" s="186">
        <f>IF(N22="","-",L22*N22)</f>
        <v>559.04688539023198</v>
      </c>
      <c r="P22" s="186">
        <f t="shared" ref="P22" si="0">IF(O22="-","-",IF(OR(E22&lt;$E$15,E22&gt;$E$16),0,O22*J22))</f>
        <v>226.48861564957915</v>
      </c>
      <c r="Q22" s="215">
        <f>IF(P22="-",0,P22/(1+'General inputs'!$H$30)^'MP Calculations'!$C$40)</f>
        <v>503.09667182921481</v>
      </c>
      <c r="R22" s="201"/>
    </row>
    <row r="23" spans="3:18">
      <c r="C23" s="159"/>
      <c r="D23" s="165" t="s">
        <v>281</v>
      </c>
      <c r="E23" s="162">
        <v>25569</v>
      </c>
      <c r="F23" s="166" t="str">
        <f t="shared" ref="F23:F86" si="1">IF(E23="","-",IF(OR(E23&lt;$E$15,E23&gt;$E$16),"ERROR - date outside of range","Date check - OK"))</f>
        <v>Date check - OK</v>
      </c>
      <c r="G23" s="68"/>
      <c r="H23" s="162" t="s">
        <v>293</v>
      </c>
      <c r="I23" s="173">
        <v>20414.77563211487</v>
      </c>
      <c r="J23" s="168">
        <f>IFERROR(MIN('MP Calculations'!$E$30/I23,1),"-")</f>
        <v>0.40513348981719682</v>
      </c>
      <c r="K23" s="68"/>
      <c r="L23" s="159">
        <v>0.40005000000000002</v>
      </c>
      <c r="M23" s="184" t="s">
        <v>294</v>
      </c>
      <c r="N23" s="184">
        <v>192.78728599999999</v>
      </c>
      <c r="O23" s="186">
        <f t="shared" ref="O23:O86" si="2">IF(N23="","-",L23*N23)</f>
        <v>77.124553764300003</v>
      </c>
      <c r="P23" s="186">
        <f t="shared" ref="P23:P86" si="3">IF(O23="-","-",IF(OR(E23&lt;$E$15,E23&gt;$E$16),0,O23*J23))</f>
        <v>31.245739617124883</v>
      </c>
      <c r="Q23" s="215">
        <f>IF(P23="-",0,P23/(1+'General inputs'!$H$30)^'MP Calculations'!$C$40)</f>
        <v>69.405817882427343</v>
      </c>
      <c r="R23" s="201"/>
    </row>
    <row r="24" spans="3:18">
      <c r="C24" s="159"/>
      <c r="D24" s="165" t="s">
        <v>281</v>
      </c>
      <c r="E24" s="162">
        <v>25569</v>
      </c>
      <c r="F24" s="166" t="str">
        <f t="shared" si="1"/>
        <v>Date check - OK</v>
      </c>
      <c r="G24" s="68"/>
      <c r="H24" s="162" t="s">
        <v>293</v>
      </c>
      <c r="I24" s="173">
        <v>20414.77563211487</v>
      </c>
      <c r="J24" s="168">
        <f>IFERROR(MIN('MP Calculations'!$E$30/I24,1),"-")</f>
        <v>0.40513348981719682</v>
      </c>
      <c r="K24" s="12"/>
      <c r="L24" s="159">
        <v>0.60862000000000005</v>
      </c>
      <c r="M24" s="187" t="s">
        <v>294</v>
      </c>
      <c r="N24" s="187">
        <v>192.78728599999999</v>
      </c>
      <c r="O24" s="186">
        <f t="shared" si="2"/>
        <v>117.33419800532</v>
      </c>
      <c r="P24" s="186">
        <f t="shared" si="3"/>
        <v>47.536013112797271</v>
      </c>
      <c r="Q24" s="215">
        <f>IF(P24="-",0,P24/(1+'General inputs'!$H$30)^'MP Calculations'!$C$40)</f>
        <v>105.59122329609532</v>
      </c>
      <c r="R24" s="201"/>
    </row>
    <row r="25" spans="3:18">
      <c r="C25" s="159"/>
      <c r="D25" s="165" t="s">
        <v>282</v>
      </c>
      <c r="E25" s="162">
        <v>25569</v>
      </c>
      <c r="F25" s="166" t="str">
        <f t="shared" si="1"/>
        <v>Date check - OK</v>
      </c>
      <c r="G25" s="68"/>
      <c r="H25" s="162" t="s">
        <v>293</v>
      </c>
      <c r="I25" s="173">
        <v>20414.77563211487</v>
      </c>
      <c r="J25" s="168">
        <f>IFERROR(MIN('MP Calculations'!$E$30/I25,1),"-")</f>
        <v>0.40513348981719682</v>
      </c>
      <c r="K25" s="12"/>
      <c r="L25" s="159">
        <v>4.3993019999999996</v>
      </c>
      <c r="M25" s="187" t="s">
        <v>294</v>
      </c>
      <c r="N25" s="187">
        <v>237.97403299999999</v>
      </c>
      <c r="O25" s="186">
        <f t="shared" si="2"/>
        <v>1046.9196393249658</v>
      </c>
      <c r="P25" s="186">
        <f t="shared" si="3"/>
        <v>424.14220703788442</v>
      </c>
      <c r="Q25" s="215">
        <f>IF(P25="-",0,P25/(1+'General inputs'!$H$30)^'MP Calculations'!$C$40)</f>
        <v>942.1424212915133</v>
      </c>
      <c r="R25" s="201"/>
    </row>
    <row r="26" spans="3:18">
      <c r="C26" s="159"/>
      <c r="D26" s="165" t="s">
        <v>282</v>
      </c>
      <c r="E26" s="162">
        <v>25569</v>
      </c>
      <c r="F26" s="166" t="str">
        <f t="shared" si="1"/>
        <v>Date check - OK</v>
      </c>
      <c r="G26" s="68"/>
      <c r="H26" s="162" t="s">
        <v>293</v>
      </c>
      <c r="I26" s="173">
        <v>20414.77563211487</v>
      </c>
      <c r="J26" s="168">
        <f>IFERROR(MIN('MP Calculations'!$E$30/I26,1),"-")</f>
        <v>0.40513348981719682</v>
      </c>
      <c r="K26" s="12"/>
      <c r="L26" s="159">
        <v>1.984985</v>
      </c>
      <c r="M26" s="187" t="s">
        <v>294</v>
      </c>
      <c r="N26" s="187">
        <v>237.97403299999999</v>
      </c>
      <c r="O26" s="186">
        <f t="shared" si="2"/>
        <v>472.37488589450498</v>
      </c>
      <c r="P26" s="186">
        <f t="shared" si="3"/>
        <v>191.37488602444094</v>
      </c>
      <c r="Q26" s="215">
        <f>IF(P26="-",0,P26/(1+'General inputs'!$H$30)^'MP Calculations'!$C$40)</f>
        <v>425.09893026833225</v>
      </c>
      <c r="R26" s="201"/>
    </row>
    <row r="27" spans="3:18">
      <c r="C27" s="159"/>
      <c r="D27" s="165" t="s">
        <v>281</v>
      </c>
      <c r="E27" s="162">
        <v>25569</v>
      </c>
      <c r="F27" s="166" t="str">
        <f t="shared" si="1"/>
        <v>Date check - OK</v>
      </c>
      <c r="G27" s="68"/>
      <c r="H27" s="162" t="s">
        <v>293</v>
      </c>
      <c r="I27" s="173">
        <v>20414.77563211487</v>
      </c>
      <c r="J27" s="168">
        <f>IFERROR(MIN('MP Calculations'!$E$30/I27,1),"-")</f>
        <v>0.40513348981719682</v>
      </c>
      <c r="K27" s="12"/>
      <c r="L27" s="159">
        <v>2.176221</v>
      </c>
      <c r="M27" s="187" t="s">
        <v>294</v>
      </c>
      <c r="N27" s="187">
        <v>192.78728599999999</v>
      </c>
      <c r="O27" s="186">
        <f t="shared" si="2"/>
        <v>419.547740326206</v>
      </c>
      <c r="P27" s="186">
        <f t="shared" si="3"/>
        <v>169.97284018327491</v>
      </c>
      <c r="Q27" s="215">
        <f>IF(P27="-",0,P27/(1+'General inputs'!$H$30)^'MP Calculations'!$C$40)</f>
        <v>377.55880114464168</v>
      </c>
      <c r="R27" s="201"/>
    </row>
    <row r="28" spans="3:18">
      <c r="C28" s="159"/>
      <c r="D28" s="165" t="s">
        <v>282</v>
      </c>
      <c r="E28" s="162">
        <v>25569</v>
      </c>
      <c r="F28" s="166" t="str">
        <f t="shared" si="1"/>
        <v>Date check - OK</v>
      </c>
      <c r="G28" s="68"/>
      <c r="H28" s="162" t="s">
        <v>293</v>
      </c>
      <c r="I28" s="173">
        <v>20414.77563211487</v>
      </c>
      <c r="J28" s="168">
        <f>IFERROR(MIN('MP Calculations'!$E$30/I28,1),"-")</f>
        <v>0.40513348981719682</v>
      </c>
      <c r="K28" s="12"/>
      <c r="L28" s="159">
        <v>0.49993799999999999</v>
      </c>
      <c r="M28" s="187" t="s">
        <v>294</v>
      </c>
      <c r="N28" s="187">
        <v>237.97403299999999</v>
      </c>
      <c r="O28" s="186">
        <f t="shared" si="2"/>
        <v>118.97226210995399</v>
      </c>
      <c r="P28" s="186">
        <f t="shared" si="3"/>
        <v>48.199647740051915</v>
      </c>
      <c r="Q28" s="215">
        <f>IF(P28="-",0,P28/(1+'General inputs'!$H$30)^'MP Calculations'!$C$40)</f>
        <v>107.06534759733171</v>
      </c>
      <c r="R28" s="201"/>
    </row>
    <row r="29" spans="3:18">
      <c r="C29" s="159"/>
      <c r="D29" s="165" t="s">
        <v>281</v>
      </c>
      <c r="E29" s="162">
        <v>25569</v>
      </c>
      <c r="F29" s="166" t="str">
        <f t="shared" si="1"/>
        <v>Date check - OK</v>
      </c>
      <c r="G29" s="68"/>
      <c r="H29" s="162" t="s">
        <v>293</v>
      </c>
      <c r="I29" s="173">
        <v>20414.77563211487</v>
      </c>
      <c r="J29" s="168">
        <f>IFERROR(MIN('MP Calculations'!$E$30/I29,1),"-")</f>
        <v>0.40513348981719682</v>
      </c>
      <c r="K29" s="12"/>
      <c r="L29" s="159">
        <v>51.839246000000003</v>
      </c>
      <c r="M29" s="187" t="s">
        <v>294</v>
      </c>
      <c r="N29" s="187">
        <v>192.78728599999999</v>
      </c>
      <c r="O29" s="186">
        <f t="shared" si="2"/>
        <v>9993.9475446263568</v>
      </c>
      <c r="P29" s="186">
        <f t="shared" si="3"/>
        <v>4048.8828458044813</v>
      </c>
      <c r="Q29" s="215">
        <f>IF(P29="-",0,P29/(1+'General inputs'!$H$30)^'MP Calculations'!$C$40)</f>
        <v>8993.738950227098</v>
      </c>
      <c r="R29" s="201"/>
    </row>
    <row r="30" spans="3:18">
      <c r="C30" s="159"/>
      <c r="D30" s="165" t="s">
        <v>281</v>
      </c>
      <c r="E30" s="162">
        <v>25569</v>
      </c>
      <c r="F30" s="166" t="str">
        <f t="shared" si="1"/>
        <v>Date check - OK</v>
      </c>
      <c r="G30" s="68"/>
      <c r="H30" s="162" t="s">
        <v>293</v>
      </c>
      <c r="I30" s="173">
        <v>20414.77563211487</v>
      </c>
      <c r="J30" s="168">
        <f>IFERROR(MIN('MP Calculations'!$E$30/I30,1),"-")</f>
        <v>0.40513348981719682</v>
      </c>
      <c r="K30" s="12"/>
      <c r="L30" s="159">
        <v>26.614415000000001</v>
      </c>
      <c r="M30" s="187" t="s">
        <v>294</v>
      </c>
      <c r="N30" s="187">
        <v>192.78728599999999</v>
      </c>
      <c r="O30" s="186">
        <f t="shared" si="2"/>
        <v>5130.9208363276903</v>
      </c>
      <c r="P30" s="186">
        <f t="shared" si="3"/>
        <v>2078.7078643972072</v>
      </c>
      <c r="Q30" s="215">
        <f>IF(P30="-",0,P30/(1+'General inputs'!$H$30)^'MP Calculations'!$C$40)</f>
        <v>4617.4109249777339</v>
      </c>
    </row>
    <row r="31" spans="3:18">
      <c r="C31" s="159"/>
      <c r="D31" s="165" t="s">
        <v>281</v>
      </c>
      <c r="E31" s="162">
        <v>25569</v>
      </c>
      <c r="F31" s="166" t="str">
        <f t="shared" si="1"/>
        <v>Date check - OK</v>
      </c>
      <c r="G31" s="68"/>
      <c r="H31" s="162" t="s">
        <v>293</v>
      </c>
      <c r="I31" s="173">
        <v>20414.77563211487</v>
      </c>
      <c r="J31" s="168">
        <f>IFERROR(MIN('MP Calculations'!$E$30/I31,1),"-")</f>
        <v>0.40513348981719682</v>
      </c>
      <c r="K31" s="12"/>
      <c r="L31" s="159">
        <v>84.297308000000001</v>
      </c>
      <c r="M31" s="187" t="s">
        <v>294</v>
      </c>
      <c r="N31" s="187">
        <v>192.78728599999999</v>
      </c>
      <c r="O31" s="186">
        <f t="shared" si="2"/>
        <v>16251.449226426088</v>
      </c>
      <c r="P31" s="186">
        <f t="shared" si="3"/>
        <v>6584.0063396889846</v>
      </c>
      <c r="Q31" s="215">
        <f>IF(P31="-",0,P31/(1+'General inputs'!$H$30)^'MP Calculations'!$C$40)</f>
        <v>14624.980894955344</v>
      </c>
    </row>
    <row r="32" spans="3:18">
      <c r="C32" s="159"/>
      <c r="D32" s="165" t="s">
        <v>281</v>
      </c>
      <c r="E32" s="162">
        <v>25569</v>
      </c>
      <c r="F32" s="166" t="str">
        <f t="shared" si="1"/>
        <v>Date check - OK</v>
      </c>
      <c r="G32" s="68"/>
      <c r="H32" s="162" t="s">
        <v>293</v>
      </c>
      <c r="I32" s="173">
        <v>20414.77563211487</v>
      </c>
      <c r="J32" s="168">
        <f>IFERROR(MIN('MP Calculations'!$E$30/I32,1),"-")</f>
        <v>0.40513348981719682</v>
      </c>
      <c r="K32" s="12"/>
      <c r="L32" s="159">
        <v>35.223804999999999</v>
      </c>
      <c r="M32" s="187" t="s">
        <v>294</v>
      </c>
      <c r="N32" s="187">
        <v>192.78728599999999</v>
      </c>
      <c r="O32" s="186">
        <f t="shared" si="2"/>
        <v>6790.7017685432293</v>
      </c>
      <c r="P32" s="186">
        <f t="shared" si="3"/>
        <v>2751.140705797729</v>
      </c>
      <c r="Q32" s="215">
        <f>IF(P32="-",0,P32/(1+'General inputs'!$H$30)^'MP Calculations'!$C$40)</f>
        <v>6111.0786025650132</v>
      </c>
    </row>
    <row r="33" spans="3:17">
      <c r="C33" s="159"/>
      <c r="D33" s="165" t="s">
        <v>281</v>
      </c>
      <c r="E33" s="162">
        <v>25569</v>
      </c>
      <c r="F33" s="166" t="str">
        <f t="shared" si="1"/>
        <v>Date check - OK</v>
      </c>
      <c r="G33" s="68"/>
      <c r="H33" s="162" t="s">
        <v>293</v>
      </c>
      <c r="I33" s="173">
        <v>20414.77563211487</v>
      </c>
      <c r="J33" s="168">
        <f>IFERROR(MIN('MP Calculations'!$E$30/I33,1),"-")</f>
        <v>0.40513348981719682</v>
      </c>
      <c r="K33" s="12"/>
      <c r="L33" s="159">
        <v>41.425072999999998</v>
      </c>
      <c r="M33" s="187" t="s">
        <v>294</v>
      </c>
      <c r="N33" s="187">
        <v>192.78728599999999</v>
      </c>
      <c r="O33" s="186">
        <f t="shared" si="2"/>
        <v>7986.2273960218772</v>
      </c>
      <c r="P33" s="186">
        <f t="shared" si="3"/>
        <v>3235.4881754240473</v>
      </c>
      <c r="Q33" s="215">
        <f>IF(P33="-",0,P33/(1+'General inputs'!$H$30)^'MP Calculations'!$C$40)</f>
        <v>7186.954311721679</v>
      </c>
    </row>
    <row r="34" spans="3:17">
      <c r="C34" s="159"/>
      <c r="D34" s="165" t="s">
        <v>281</v>
      </c>
      <c r="E34" s="162">
        <v>25569</v>
      </c>
      <c r="F34" s="166" t="str">
        <f t="shared" si="1"/>
        <v>Date check - OK</v>
      </c>
      <c r="G34" s="68"/>
      <c r="H34" s="162" t="s">
        <v>293</v>
      </c>
      <c r="I34" s="173">
        <v>20414.77563211487</v>
      </c>
      <c r="J34" s="168">
        <f>IFERROR(MIN('MP Calculations'!$E$30/I34,1),"-")</f>
        <v>0.40513348981719682</v>
      </c>
      <c r="K34" s="12"/>
      <c r="L34" s="159">
        <v>63.545019000000003</v>
      </c>
      <c r="M34" s="187" t="s">
        <v>294</v>
      </c>
      <c r="N34" s="187">
        <v>192.78728599999999</v>
      </c>
      <c r="O34" s="186">
        <f t="shared" si="2"/>
        <v>12250.671751828435</v>
      </c>
      <c r="P34" s="186">
        <f t="shared" si="3"/>
        <v>4963.1573994232058</v>
      </c>
      <c r="Q34" s="215">
        <f>IF(P34="-",0,P34/(1+'General inputs'!$H$30)^'MP Calculations'!$C$40)</f>
        <v>11024.606964252933</v>
      </c>
    </row>
    <row r="35" spans="3:17">
      <c r="C35" s="159"/>
      <c r="D35" s="165" t="s">
        <v>281</v>
      </c>
      <c r="E35" s="162">
        <v>25569</v>
      </c>
      <c r="F35" s="166" t="str">
        <f t="shared" si="1"/>
        <v>Date check - OK</v>
      </c>
      <c r="G35" s="68"/>
      <c r="H35" s="162" t="s">
        <v>293</v>
      </c>
      <c r="I35" s="173">
        <v>20414.77563211487</v>
      </c>
      <c r="J35" s="168">
        <f>IFERROR(MIN('MP Calculations'!$E$30/I35,1),"-")</f>
        <v>0.40513348981719682</v>
      </c>
      <c r="K35" s="12"/>
      <c r="L35" s="159">
        <v>3.761873</v>
      </c>
      <c r="M35" s="187" t="s">
        <v>294</v>
      </c>
      <c r="N35" s="187">
        <v>192.78728599999999</v>
      </c>
      <c r="O35" s="186">
        <f t="shared" si="2"/>
        <v>725.24128594667798</v>
      </c>
      <c r="P35" s="186">
        <f t="shared" si="3"/>
        <v>293.81953313508922</v>
      </c>
      <c r="Q35" s="215">
        <f>IF(P35="-",0,P35/(1+'General inputs'!$H$30)^'MP Calculations'!$C$40)</f>
        <v>652.65809857472971</v>
      </c>
    </row>
    <row r="36" spans="3:17">
      <c r="C36" s="159"/>
      <c r="D36" s="165" t="s">
        <v>281</v>
      </c>
      <c r="E36" s="162">
        <v>25569</v>
      </c>
      <c r="F36" s="166" t="str">
        <f t="shared" si="1"/>
        <v>Date check - OK</v>
      </c>
      <c r="G36" s="68"/>
      <c r="H36" s="162" t="s">
        <v>293</v>
      </c>
      <c r="I36" s="173">
        <v>20414.77563211487</v>
      </c>
      <c r="J36" s="168">
        <f>IFERROR(MIN('MP Calculations'!$E$30/I36,1),"-")</f>
        <v>0.40513348981719682</v>
      </c>
      <c r="K36" s="12"/>
      <c r="L36" s="159">
        <v>0.34392600000000001</v>
      </c>
      <c r="M36" s="187" t="s">
        <v>294</v>
      </c>
      <c r="N36" s="187">
        <v>192.78728599999999</v>
      </c>
      <c r="O36" s="186">
        <f t="shared" si="2"/>
        <v>66.304560124836001</v>
      </c>
      <c r="P36" s="186">
        <f t="shared" si="3"/>
        <v>26.86219783416896</v>
      </c>
      <c r="Q36" s="215">
        <f>IF(P36="-",0,P36/(1+'General inputs'!$H$30)^'MP Calculations'!$C$40)</f>
        <v>59.668704714489955</v>
      </c>
    </row>
    <row r="37" spans="3:17">
      <c r="C37" s="159"/>
      <c r="D37" s="165" t="s">
        <v>281</v>
      </c>
      <c r="E37" s="162">
        <v>25569</v>
      </c>
      <c r="F37" s="166" t="str">
        <f t="shared" si="1"/>
        <v>Date check - OK</v>
      </c>
      <c r="G37" s="68"/>
      <c r="H37" s="162" t="s">
        <v>293</v>
      </c>
      <c r="I37" s="173">
        <v>20414.77563211487</v>
      </c>
      <c r="J37" s="168">
        <f>IFERROR(MIN('MP Calculations'!$E$30/I37,1),"-")</f>
        <v>0.40513348981719682</v>
      </c>
      <c r="K37" s="12"/>
      <c r="L37" s="159">
        <v>61.311635000000003</v>
      </c>
      <c r="M37" s="187" t="s">
        <v>294</v>
      </c>
      <c r="N37" s="187">
        <v>192.78728599999999</v>
      </c>
      <c r="O37" s="186">
        <f t="shared" si="2"/>
        <v>11820.103711872611</v>
      </c>
      <c r="P37" s="186">
        <f t="shared" si="3"/>
        <v>4788.719866792153</v>
      </c>
      <c r="Q37" s="215">
        <f>IF(P37="-",0,P37/(1+'General inputs'!$H$30)^'MP Calculations'!$C$40)</f>
        <v>10637.130790860789</v>
      </c>
    </row>
    <row r="38" spans="3:17">
      <c r="C38" s="159"/>
      <c r="D38" s="165" t="s">
        <v>281</v>
      </c>
      <c r="E38" s="162">
        <v>25569</v>
      </c>
      <c r="F38" s="166" t="str">
        <f t="shared" si="1"/>
        <v>Date check - OK</v>
      </c>
      <c r="G38" s="68"/>
      <c r="H38" s="162" t="s">
        <v>293</v>
      </c>
      <c r="I38" s="173">
        <v>20414.77563211487</v>
      </c>
      <c r="J38" s="168">
        <f>IFERROR(MIN('MP Calculations'!$E$30/I38,1),"-")</f>
        <v>0.40513348981719682</v>
      </c>
      <c r="K38" s="12"/>
      <c r="L38" s="159">
        <v>183.42954</v>
      </c>
      <c r="M38" s="187" t="s">
        <v>294</v>
      </c>
      <c r="N38" s="187">
        <v>192.78728599999999</v>
      </c>
      <c r="O38" s="186">
        <f t="shared" si="2"/>
        <v>35362.88318882844</v>
      </c>
      <c r="P38" s="186">
        <f t="shared" si="3"/>
        <v>14326.688276287947</v>
      </c>
      <c r="Q38" s="215">
        <f>IF(P38="-",0,P38/(1+'General inputs'!$H$30)^'MP Calculations'!$C$40)</f>
        <v>31823.715154349258</v>
      </c>
    </row>
    <row r="39" spans="3:17">
      <c r="C39" s="159"/>
      <c r="D39" s="165" t="s">
        <v>281</v>
      </c>
      <c r="E39" s="162">
        <v>25569</v>
      </c>
      <c r="F39" s="166" t="str">
        <f t="shared" si="1"/>
        <v>Date check - OK</v>
      </c>
      <c r="G39" s="68"/>
      <c r="H39" s="162" t="s">
        <v>293</v>
      </c>
      <c r="I39" s="173">
        <v>20414.77563211487</v>
      </c>
      <c r="J39" s="168">
        <f>IFERROR(MIN('MP Calculations'!$E$30/I39,1),"-")</f>
        <v>0.40513348981719682</v>
      </c>
      <c r="K39" s="12"/>
      <c r="L39" s="159">
        <v>55.456069999999997</v>
      </c>
      <c r="M39" s="187" t="s">
        <v>294</v>
      </c>
      <c r="N39" s="187">
        <v>192.78728599999999</v>
      </c>
      <c r="O39" s="186">
        <f t="shared" si="2"/>
        <v>10691.22522752602</v>
      </c>
      <c r="P39" s="186">
        <f t="shared" si="3"/>
        <v>4331.3733868492709</v>
      </c>
      <c r="Q39" s="215">
        <f>IF(P39="-",0,P39/(1+'General inputs'!$H$30)^'MP Calculations'!$C$40)</f>
        <v>9621.2320832274527</v>
      </c>
    </row>
    <row r="40" spans="3:17">
      <c r="C40" s="159"/>
      <c r="D40" s="165" t="s">
        <v>281</v>
      </c>
      <c r="E40" s="162">
        <v>25569</v>
      </c>
      <c r="F40" s="166" t="str">
        <f t="shared" si="1"/>
        <v>Date check - OK</v>
      </c>
      <c r="G40" s="68"/>
      <c r="H40" s="162" t="s">
        <v>293</v>
      </c>
      <c r="I40" s="173">
        <v>20414.77563211487</v>
      </c>
      <c r="J40" s="168">
        <f>IFERROR(MIN('MP Calculations'!$E$30/I40,1),"-")</f>
        <v>0.40513348981719682</v>
      </c>
      <c r="K40" s="12"/>
      <c r="L40" s="159">
        <v>100.77054099999999</v>
      </c>
      <c r="M40" s="187" t="s">
        <v>294</v>
      </c>
      <c r="N40" s="187">
        <v>192.78728599999999</v>
      </c>
      <c r="O40" s="186">
        <f t="shared" si="2"/>
        <v>19427.279108141724</v>
      </c>
      <c r="P40" s="186">
        <f t="shared" si="3"/>
        <v>7870.6413827341757</v>
      </c>
      <c r="Q40" s="215">
        <f>IF(P40="-",0,P40/(1+'General inputs'!$H$30)^'MP Calculations'!$C$40)</f>
        <v>17482.969170252913</v>
      </c>
    </row>
    <row r="41" spans="3:17">
      <c r="C41" s="159"/>
      <c r="D41" s="165" t="s">
        <v>281</v>
      </c>
      <c r="E41" s="162">
        <v>25569</v>
      </c>
      <c r="F41" s="166" t="str">
        <f t="shared" si="1"/>
        <v>Date check - OK</v>
      </c>
      <c r="G41" s="68"/>
      <c r="H41" s="162" t="s">
        <v>293</v>
      </c>
      <c r="I41" s="173">
        <v>20414.77563211487</v>
      </c>
      <c r="J41" s="168">
        <f>IFERROR(MIN('MP Calculations'!$E$30/I41,1),"-")</f>
        <v>0.40513348981719682</v>
      </c>
      <c r="K41" s="12"/>
      <c r="L41" s="159">
        <v>1.1999820000000001</v>
      </c>
      <c r="M41" s="187" t="s">
        <v>294</v>
      </c>
      <c r="N41" s="187">
        <v>192.78728599999999</v>
      </c>
      <c r="O41" s="186">
        <f t="shared" si="2"/>
        <v>231.34127302885202</v>
      </c>
      <c r="P41" s="186">
        <f t="shared" si="3"/>
        <v>93.724097280931773</v>
      </c>
      <c r="Q41" s="215">
        <f>IF(P41="-",0,P41/(1+'General inputs'!$H$30)^'MP Calculations'!$C$40)</f>
        <v>208.18830684712145</v>
      </c>
    </row>
    <row r="42" spans="3:17">
      <c r="C42" s="159"/>
      <c r="D42" s="165" t="s">
        <v>282</v>
      </c>
      <c r="E42" s="162">
        <v>25569</v>
      </c>
      <c r="F42" s="166" t="str">
        <f t="shared" si="1"/>
        <v>Date check - OK</v>
      </c>
      <c r="G42" s="68"/>
      <c r="H42" s="162" t="s">
        <v>293</v>
      </c>
      <c r="I42" s="173">
        <v>20414.77563211487</v>
      </c>
      <c r="J42" s="168">
        <f>IFERROR(MIN('MP Calculations'!$E$30/I42,1),"-")</f>
        <v>0.40513348981719682</v>
      </c>
      <c r="K42" s="12"/>
      <c r="L42" s="159">
        <v>0.99995000000000001</v>
      </c>
      <c r="M42" s="187" t="s">
        <v>294</v>
      </c>
      <c r="N42" s="187">
        <v>237.97403299999999</v>
      </c>
      <c r="O42" s="186">
        <f t="shared" si="2"/>
        <v>237.96213429834998</v>
      </c>
      <c r="P42" s="186">
        <f t="shared" si="3"/>
        <v>96.406429912638998</v>
      </c>
      <c r="Q42" s="215">
        <f>IF(P42="-",0,P42/(1+'General inputs'!$H$30)^'MP Calculations'!$C$40)</f>
        <v>214.14654283121479</v>
      </c>
    </row>
    <row r="43" spans="3:17">
      <c r="C43" s="159"/>
      <c r="D43" s="165" t="s">
        <v>281</v>
      </c>
      <c r="E43" s="162">
        <v>25569</v>
      </c>
      <c r="F43" s="166" t="str">
        <f t="shared" si="1"/>
        <v>Date check - OK</v>
      </c>
      <c r="G43" s="68"/>
      <c r="H43" s="162" t="s">
        <v>293</v>
      </c>
      <c r="I43" s="173">
        <v>20414.77563211487</v>
      </c>
      <c r="J43" s="168">
        <f>IFERROR(MIN('MP Calculations'!$E$30/I43,1),"-")</f>
        <v>0.40513348981719682</v>
      </c>
      <c r="K43" s="12"/>
      <c r="L43" s="159">
        <v>3.9792969999999999</v>
      </c>
      <c r="M43" s="187" t="s">
        <v>294</v>
      </c>
      <c r="N43" s="187">
        <v>192.78728599999999</v>
      </c>
      <c r="O43" s="186">
        <f t="shared" si="2"/>
        <v>767.1578688179419</v>
      </c>
      <c r="P43" s="186">
        <f t="shared" si="3"/>
        <v>310.80134463493607</v>
      </c>
      <c r="Q43" s="215">
        <f>IF(P43="-",0,P43/(1+'General inputs'!$H$30)^'MP Calculations'!$C$40)</f>
        <v>690.37960975400438</v>
      </c>
    </row>
    <row r="44" spans="3:17">
      <c r="C44" s="159"/>
      <c r="D44" s="165" t="s">
        <v>281</v>
      </c>
      <c r="E44" s="162">
        <v>25619</v>
      </c>
      <c r="F44" s="166" t="str">
        <f t="shared" si="1"/>
        <v>Date check - OK</v>
      </c>
      <c r="G44" s="68"/>
      <c r="H44" s="162" t="s">
        <v>293</v>
      </c>
      <c r="I44" s="173">
        <v>20414.77563211487</v>
      </c>
      <c r="J44" s="168">
        <f>IFERROR(MIN('MP Calculations'!$E$30/I44,1),"-")</f>
        <v>0.40513348981719682</v>
      </c>
      <c r="K44" s="12"/>
      <c r="L44" s="159">
        <v>66.432129000000003</v>
      </c>
      <c r="M44" s="187" t="s">
        <v>294</v>
      </c>
      <c r="N44" s="187">
        <v>192.78728599999999</v>
      </c>
      <c r="O44" s="186">
        <f t="shared" si="2"/>
        <v>12807.269853111895</v>
      </c>
      <c r="P44" s="186">
        <f t="shared" si="3"/>
        <v>5188.6539306218001</v>
      </c>
      <c r="Q44" s="215">
        <f>IF(P44="-",0,P44/(1+'General inputs'!$H$30)^'MP Calculations'!$C$40)</f>
        <v>11525.499929798578</v>
      </c>
    </row>
    <row r="45" spans="3:17">
      <c r="C45" s="159"/>
      <c r="D45" s="165" t="s">
        <v>281</v>
      </c>
      <c r="E45" s="162">
        <v>25619</v>
      </c>
      <c r="F45" s="166" t="str">
        <f t="shared" si="1"/>
        <v>Date check - OK</v>
      </c>
      <c r="G45" s="68"/>
      <c r="H45" s="162" t="s">
        <v>293</v>
      </c>
      <c r="I45" s="173">
        <v>20414.77563211487</v>
      </c>
      <c r="J45" s="168">
        <f>IFERROR(MIN('MP Calculations'!$E$30/I45,1),"-")</f>
        <v>0.40513348981719682</v>
      </c>
      <c r="K45" s="12"/>
      <c r="L45" s="159">
        <v>1.219336</v>
      </c>
      <c r="M45" s="187" t="s">
        <v>294</v>
      </c>
      <c r="N45" s="187">
        <v>192.78728599999999</v>
      </c>
      <c r="O45" s="186">
        <f t="shared" si="2"/>
        <v>235.07247816209599</v>
      </c>
      <c r="P45" s="186">
        <f t="shared" si="3"/>
        <v>95.235733437786735</v>
      </c>
      <c r="Q45" s="215">
        <f>IF(P45="-",0,P45/(1+'General inputs'!$H$30)^'MP Calculations'!$C$40)</f>
        <v>211.5460876227657</v>
      </c>
    </row>
    <row r="46" spans="3:17">
      <c r="C46" s="159"/>
      <c r="D46" s="165" t="s">
        <v>281</v>
      </c>
      <c r="E46" s="162">
        <v>25619</v>
      </c>
      <c r="F46" s="166" t="str">
        <f t="shared" si="1"/>
        <v>Date check - OK</v>
      </c>
      <c r="G46" s="68"/>
      <c r="H46" s="162" t="s">
        <v>293</v>
      </c>
      <c r="I46" s="173">
        <v>20414.77563211487</v>
      </c>
      <c r="J46" s="168">
        <f>IFERROR(MIN('MP Calculations'!$E$30/I46,1),"-")</f>
        <v>0.40513348981719682</v>
      </c>
      <c r="K46" s="12"/>
      <c r="L46" s="159">
        <v>43.096826</v>
      </c>
      <c r="M46" s="187" t="s">
        <v>294</v>
      </c>
      <c r="N46" s="187">
        <v>192.78728599999999</v>
      </c>
      <c r="O46" s="186">
        <f t="shared" si="2"/>
        <v>8308.5201197542356</v>
      </c>
      <c r="P46" s="186">
        <f t="shared" si="3"/>
        <v>3366.0597513324274</v>
      </c>
      <c r="Q46" s="215">
        <f>IF(P46="-",0,P46/(1+'General inputs'!$H$30)^'MP Calculations'!$C$40)</f>
        <v>7476.9915177269322</v>
      </c>
    </row>
    <row r="47" spans="3:17">
      <c r="C47" s="159"/>
      <c r="D47" s="165" t="s">
        <v>281</v>
      </c>
      <c r="E47" s="162">
        <v>25619</v>
      </c>
      <c r="F47" s="166" t="str">
        <f t="shared" si="1"/>
        <v>Date check - OK</v>
      </c>
      <c r="G47" s="68"/>
      <c r="H47" s="162" t="s">
        <v>293</v>
      </c>
      <c r="I47" s="173">
        <v>20414.77563211487</v>
      </c>
      <c r="J47" s="168">
        <f>IFERROR(MIN('MP Calculations'!$E$30/I47,1),"-")</f>
        <v>0.40513348981719682</v>
      </c>
      <c r="K47" s="12"/>
      <c r="L47" s="159">
        <v>29.67032</v>
      </c>
      <c r="M47" s="187" t="s">
        <v>294</v>
      </c>
      <c r="N47" s="187">
        <v>192.78728599999999</v>
      </c>
      <c r="O47" s="186">
        <f t="shared" si="2"/>
        <v>5720.0604675515197</v>
      </c>
      <c r="P47" s="186">
        <f t="shared" si="3"/>
        <v>2317.3880591845336</v>
      </c>
      <c r="Q47" s="215">
        <f>IF(P47="-",0,P47/(1+'General inputs'!$H$30)^'MP Calculations'!$C$40)</f>
        <v>5147.5886175061651</v>
      </c>
    </row>
    <row r="48" spans="3:17">
      <c r="C48" s="159"/>
      <c r="D48" s="165" t="s">
        <v>281</v>
      </c>
      <c r="E48" s="162">
        <v>25619</v>
      </c>
      <c r="F48" s="166" t="str">
        <f t="shared" si="1"/>
        <v>Date check - OK</v>
      </c>
      <c r="G48" s="68"/>
      <c r="H48" s="162" t="s">
        <v>293</v>
      </c>
      <c r="I48" s="173">
        <v>20414.77563211487</v>
      </c>
      <c r="J48" s="168">
        <f>IFERROR(MIN('MP Calculations'!$E$30/I48,1),"-")</f>
        <v>0.40513348981719682</v>
      </c>
      <c r="K48" s="12"/>
      <c r="L48" s="159">
        <v>31.593098999999999</v>
      </c>
      <c r="M48" s="187" t="s">
        <v>294</v>
      </c>
      <c r="N48" s="187">
        <v>192.78728599999999</v>
      </c>
      <c r="O48" s="186">
        <f t="shared" si="2"/>
        <v>6090.7478125393136</v>
      </c>
      <c r="P48" s="186">
        <f t="shared" si="3"/>
        <v>2467.5659168905099</v>
      </c>
      <c r="Q48" s="215">
        <f>IF(P48="-",0,P48/(1+'General inputs'!$H$30)^'MP Calculations'!$C$40)</f>
        <v>5481.1770417085299</v>
      </c>
    </row>
    <row r="49" spans="3:17">
      <c r="C49" s="159"/>
      <c r="D49" s="165" t="s">
        <v>281</v>
      </c>
      <c r="E49" s="162">
        <v>25619</v>
      </c>
      <c r="F49" s="166" t="str">
        <f t="shared" si="1"/>
        <v>Date check - OK</v>
      </c>
      <c r="G49" s="68"/>
      <c r="H49" s="162" t="s">
        <v>293</v>
      </c>
      <c r="I49" s="173">
        <v>20414.77563211487</v>
      </c>
      <c r="J49" s="168">
        <f>IFERROR(MIN('MP Calculations'!$E$30/I49,1),"-")</f>
        <v>0.40513348981719682</v>
      </c>
      <c r="K49" s="12"/>
      <c r="L49" s="159">
        <v>75.890600000000006</v>
      </c>
      <c r="M49" s="187" t="s">
        <v>294</v>
      </c>
      <c r="N49" s="187">
        <v>192.78728599999999</v>
      </c>
      <c r="O49" s="186">
        <f t="shared" si="2"/>
        <v>14630.742806911601</v>
      </c>
      <c r="P49" s="186">
        <f t="shared" si="3"/>
        <v>5927.4038919819468</v>
      </c>
      <c r="Q49" s="215">
        <f>IF(P49="-",0,P49/(1+'General inputs'!$H$30)^'MP Calculations'!$C$40)</f>
        <v>13166.477096833249</v>
      </c>
    </row>
    <row r="50" spans="3:17">
      <c r="C50" s="159"/>
      <c r="D50" s="165" t="s">
        <v>281</v>
      </c>
      <c r="E50" s="162">
        <v>25619</v>
      </c>
      <c r="F50" s="166" t="str">
        <f t="shared" si="1"/>
        <v>Date check - OK</v>
      </c>
      <c r="G50" s="68"/>
      <c r="H50" s="162" t="s">
        <v>293</v>
      </c>
      <c r="I50" s="173">
        <v>20414.77563211487</v>
      </c>
      <c r="J50" s="168">
        <f>IFERROR(MIN('MP Calculations'!$E$30/I50,1),"-")</f>
        <v>0.40513348981719682</v>
      </c>
      <c r="K50" s="12"/>
      <c r="L50" s="159">
        <v>48.758099000000001</v>
      </c>
      <c r="M50" s="187" t="s">
        <v>294</v>
      </c>
      <c r="N50" s="187">
        <v>192.78728599999999</v>
      </c>
      <c r="O50" s="186">
        <f t="shared" si="2"/>
        <v>9399.941576729314</v>
      </c>
      <c r="P50" s="186">
        <f t="shared" si="3"/>
        <v>3808.2311350581108</v>
      </c>
      <c r="Q50" s="215">
        <f>IF(P50="-",0,P50/(1+'General inputs'!$H$30)^'MP Calculations'!$C$40)</f>
        <v>8459.1819509745364</v>
      </c>
    </row>
    <row r="51" spans="3:17">
      <c r="C51" s="159"/>
      <c r="D51" s="165" t="s">
        <v>281</v>
      </c>
      <c r="E51" s="162">
        <v>25619</v>
      </c>
      <c r="F51" s="166" t="str">
        <f t="shared" si="1"/>
        <v>Date check - OK</v>
      </c>
      <c r="G51" s="68"/>
      <c r="H51" s="162" t="s">
        <v>293</v>
      </c>
      <c r="I51" s="173">
        <v>20414.77563211487</v>
      </c>
      <c r="J51" s="168">
        <f>IFERROR(MIN('MP Calculations'!$E$30/I51,1),"-")</f>
        <v>0.40513348981719682</v>
      </c>
      <c r="K51" s="12"/>
      <c r="L51" s="159">
        <v>72.218418</v>
      </c>
      <c r="M51" s="187" t="s">
        <v>294</v>
      </c>
      <c r="N51" s="187">
        <v>192.78728599999999</v>
      </c>
      <c r="O51" s="186">
        <f t="shared" si="2"/>
        <v>13922.792805433548</v>
      </c>
      <c r="P51" s="186">
        <f t="shared" si="3"/>
        <v>5640.5896372670531</v>
      </c>
      <c r="Q51" s="215">
        <f>IF(P51="-",0,P51/(1+'General inputs'!$H$30)^'MP Calculations'!$C$40)</f>
        <v>12529.379746194258</v>
      </c>
    </row>
    <row r="52" spans="3:17">
      <c r="C52" s="159"/>
      <c r="D52" s="165" t="s">
        <v>281</v>
      </c>
      <c r="E52" s="162">
        <v>25619</v>
      </c>
      <c r="F52" s="166" t="str">
        <f t="shared" si="1"/>
        <v>Date check - OK</v>
      </c>
      <c r="G52" s="68"/>
      <c r="H52" s="162" t="s">
        <v>293</v>
      </c>
      <c r="I52" s="173">
        <v>20414.77563211487</v>
      </c>
      <c r="J52" s="168">
        <f>IFERROR(MIN('MP Calculations'!$E$30/I52,1),"-")</f>
        <v>0.40513348981719682</v>
      </c>
      <c r="K52" s="12"/>
      <c r="L52" s="159">
        <v>2.1321889999999999</v>
      </c>
      <c r="M52" s="187" t="s">
        <v>294</v>
      </c>
      <c r="N52" s="187">
        <v>192.78728599999999</v>
      </c>
      <c r="O52" s="186">
        <f t="shared" si="2"/>
        <v>411.05893054905397</v>
      </c>
      <c r="P52" s="186">
        <f t="shared" si="3"/>
        <v>166.53373905386297</v>
      </c>
      <c r="Q52" s="215">
        <f>IF(P52="-",0,P52/(1+'General inputs'!$H$30)^'MP Calculations'!$C$40)</f>
        <v>369.91956361683503</v>
      </c>
    </row>
    <row r="53" spans="3:17">
      <c r="C53" s="159"/>
      <c r="D53" s="165" t="s">
        <v>281</v>
      </c>
      <c r="E53" s="162">
        <v>25619</v>
      </c>
      <c r="F53" s="166" t="str">
        <f t="shared" si="1"/>
        <v>Date check - OK</v>
      </c>
      <c r="G53" s="68"/>
      <c r="H53" s="162" t="s">
        <v>293</v>
      </c>
      <c r="I53" s="173">
        <v>20414.77563211487</v>
      </c>
      <c r="J53" s="168">
        <f>IFERROR(MIN('MP Calculations'!$E$30/I53,1),"-")</f>
        <v>0.40513348981719682</v>
      </c>
      <c r="K53" s="12"/>
      <c r="L53" s="159">
        <v>66.737378000000007</v>
      </c>
      <c r="M53" s="187" t="s">
        <v>294</v>
      </c>
      <c r="N53" s="187">
        <v>192.78728599999999</v>
      </c>
      <c r="O53" s="186">
        <f t="shared" si="2"/>
        <v>12866.117979376109</v>
      </c>
      <c r="P53" s="186">
        <f t="shared" si="3"/>
        <v>5212.4952773844243</v>
      </c>
      <c r="Q53" s="215">
        <f>IF(P53="-",0,P53/(1+'General inputs'!$H$30)^'MP Calculations'!$C$40)</f>
        <v>11578.45845124038</v>
      </c>
    </row>
    <row r="54" spans="3:17">
      <c r="C54" s="159"/>
      <c r="D54" s="165" t="s">
        <v>281</v>
      </c>
      <c r="E54" s="162">
        <v>25619</v>
      </c>
      <c r="F54" s="166" t="str">
        <f t="shared" si="1"/>
        <v>Date check - OK</v>
      </c>
      <c r="G54" s="68"/>
      <c r="H54" s="162" t="s">
        <v>293</v>
      </c>
      <c r="I54" s="173">
        <v>20414.77563211487</v>
      </c>
      <c r="J54" s="168">
        <f>IFERROR(MIN('MP Calculations'!$E$30/I54,1),"-")</f>
        <v>0.40513348981719682</v>
      </c>
      <c r="K54" s="12"/>
      <c r="L54" s="159">
        <v>0.91403800000000002</v>
      </c>
      <c r="M54" s="187" t="s">
        <v>294</v>
      </c>
      <c r="N54" s="187">
        <v>192.78728599999999</v>
      </c>
      <c r="O54" s="186">
        <f t="shared" si="2"/>
        <v>176.21490532086798</v>
      </c>
      <c r="P54" s="186">
        <f t="shared" si="3"/>
        <v>71.390559550450178</v>
      </c>
      <c r="Q54" s="215">
        <f>IF(P54="-",0,P54/(1+'General inputs'!$H$30)^'MP Calculations'!$C$40)</f>
        <v>158.57906503091644</v>
      </c>
    </row>
    <row r="55" spans="3:17">
      <c r="C55" s="159"/>
      <c r="D55" s="165" t="s">
        <v>281</v>
      </c>
      <c r="E55" s="162">
        <v>25619</v>
      </c>
      <c r="F55" s="166" t="str">
        <f t="shared" si="1"/>
        <v>Date check - OK</v>
      </c>
      <c r="G55" s="68"/>
      <c r="H55" s="162" t="s">
        <v>293</v>
      </c>
      <c r="I55" s="173">
        <v>20414.77563211487</v>
      </c>
      <c r="J55" s="168">
        <f>IFERROR(MIN('MP Calculations'!$E$30/I55,1),"-")</f>
        <v>0.40513348981719682</v>
      </c>
      <c r="K55" s="12"/>
      <c r="L55" s="159">
        <v>67.049884000000006</v>
      </c>
      <c r="M55" s="187" t="s">
        <v>294</v>
      </c>
      <c r="N55" s="187">
        <v>192.78728599999999</v>
      </c>
      <c r="O55" s="186">
        <f t="shared" si="2"/>
        <v>12926.365162974826</v>
      </c>
      <c r="P55" s="186">
        <f t="shared" si="3"/>
        <v>5236.9034291274293</v>
      </c>
      <c r="Q55" s="215">
        <f>IF(P55="-",0,P55/(1+'General inputs'!$H$30)^'MP Calculations'!$C$40)</f>
        <v>11632.676010353405</v>
      </c>
    </row>
    <row r="56" spans="3:17">
      <c r="C56" s="159"/>
      <c r="D56" s="165" t="s">
        <v>281</v>
      </c>
      <c r="E56" s="162">
        <v>25619</v>
      </c>
      <c r="F56" s="166" t="str">
        <f t="shared" si="1"/>
        <v>Date check - OK</v>
      </c>
      <c r="G56" s="68"/>
      <c r="H56" s="162" t="s">
        <v>293</v>
      </c>
      <c r="I56" s="173">
        <v>20414.77563211487</v>
      </c>
      <c r="J56" s="168">
        <f>IFERROR(MIN('MP Calculations'!$E$30/I56,1),"-")</f>
        <v>0.40513348981719682</v>
      </c>
      <c r="K56" s="12"/>
      <c r="L56" s="159">
        <v>7.0084030000000004</v>
      </c>
      <c r="M56" s="187" t="s">
        <v>294</v>
      </c>
      <c r="N56" s="187">
        <v>192.78728599999999</v>
      </c>
      <c r="O56" s="186">
        <f t="shared" si="2"/>
        <v>1351.130993564258</v>
      </c>
      <c r="P56" s="186">
        <f t="shared" si="3"/>
        <v>547.38841462286439</v>
      </c>
      <c r="Q56" s="215">
        <f>IF(P56="-",0,P56/(1+'General inputs'!$H$30)^'MP Calculations'!$C$40)</f>
        <v>1215.9078671782465</v>
      </c>
    </row>
    <row r="57" spans="3:17">
      <c r="C57" s="159"/>
      <c r="D57" s="165" t="s">
        <v>281</v>
      </c>
      <c r="E57" s="162">
        <v>25619</v>
      </c>
      <c r="F57" s="166" t="str">
        <f t="shared" si="1"/>
        <v>Date check - OK</v>
      </c>
      <c r="G57" s="68"/>
      <c r="H57" s="162" t="s">
        <v>293</v>
      </c>
      <c r="I57" s="173">
        <v>20414.77563211487</v>
      </c>
      <c r="J57" s="168">
        <f>IFERROR(MIN('MP Calculations'!$E$30/I57,1),"-")</f>
        <v>0.40513348981719682</v>
      </c>
      <c r="K57" s="12"/>
      <c r="L57" s="159">
        <v>17.065753999999998</v>
      </c>
      <c r="M57" s="187" t="s">
        <v>294</v>
      </c>
      <c r="N57" s="187">
        <v>192.78728599999999</v>
      </c>
      <c r="O57" s="186">
        <f t="shared" si="2"/>
        <v>3290.0603972036438</v>
      </c>
      <c r="P57" s="186">
        <f t="shared" si="3"/>
        <v>1332.913650428465</v>
      </c>
      <c r="Q57" s="215">
        <f>IF(P57="-",0,P57/(1+'General inputs'!$H$30)^'MP Calculations'!$C$40)</f>
        <v>2960.7864370711309</v>
      </c>
    </row>
    <row r="58" spans="3:17">
      <c r="C58" s="159"/>
      <c r="D58" s="165" t="s">
        <v>281</v>
      </c>
      <c r="E58" s="162">
        <v>25619</v>
      </c>
      <c r="F58" s="166" t="str">
        <f t="shared" si="1"/>
        <v>Date check - OK</v>
      </c>
      <c r="G58" s="68"/>
      <c r="H58" s="162" t="s">
        <v>293</v>
      </c>
      <c r="I58" s="173">
        <v>20414.77563211487</v>
      </c>
      <c r="J58" s="168">
        <f>IFERROR(MIN('MP Calculations'!$E$30/I58,1),"-")</f>
        <v>0.40513348981719682</v>
      </c>
      <c r="K58" s="12"/>
      <c r="L58" s="159">
        <v>1.699721</v>
      </c>
      <c r="M58" s="187" t="s">
        <v>294</v>
      </c>
      <c r="N58" s="187">
        <v>192.78728599999999</v>
      </c>
      <c r="O58" s="186">
        <f t="shared" si="2"/>
        <v>327.68459854720601</v>
      </c>
      <c r="P58" s="186">
        <f t="shared" si="3"/>
        <v>132.75600496877672</v>
      </c>
      <c r="Q58" s="215">
        <f>IF(P58="-",0,P58/(1+'General inputs'!$H$30)^'MP Calculations'!$C$40)</f>
        <v>294.88945426056068</v>
      </c>
    </row>
    <row r="59" spans="3:17">
      <c r="C59" s="159"/>
      <c r="D59" s="165" t="s">
        <v>281</v>
      </c>
      <c r="E59" s="162">
        <v>25619</v>
      </c>
      <c r="F59" s="166" t="str">
        <f t="shared" si="1"/>
        <v>Date check - OK</v>
      </c>
      <c r="G59" s="68"/>
      <c r="H59" s="162" t="s">
        <v>293</v>
      </c>
      <c r="I59" s="173">
        <v>20414.77563211487</v>
      </c>
      <c r="J59" s="168">
        <f>IFERROR(MIN('MP Calculations'!$E$30/I59,1),"-")</f>
        <v>0.40513348981719682</v>
      </c>
      <c r="K59" s="12"/>
      <c r="L59" s="159">
        <v>5.2993920000000001</v>
      </c>
      <c r="M59" s="187" t="s">
        <v>294</v>
      </c>
      <c r="N59" s="187">
        <v>192.78728599999999</v>
      </c>
      <c r="O59" s="186">
        <f t="shared" si="2"/>
        <v>1021.655401130112</v>
      </c>
      <c r="P59" s="186">
        <f t="shared" si="3"/>
        <v>413.90681805043033</v>
      </c>
      <c r="Q59" s="215">
        <f>IF(P59="-",0,P59/(1+'General inputs'!$H$30)^'MP Calculations'!$C$40)</f>
        <v>919.40666426594771</v>
      </c>
    </row>
    <row r="60" spans="3:17">
      <c r="C60" s="159"/>
      <c r="D60" s="165" t="s">
        <v>281</v>
      </c>
      <c r="E60" s="162">
        <v>25619</v>
      </c>
      <c r="F60" s="166" t="str">
        <f t="shared" si="1"/>
        <v>Date check - OK</v>
      </c>
      <c r="G60" s="68"/>
      <c r="H60" s="162" t="s">
        <v>293</v>
      </c>
      <c r="I60" s="173">
        <v>20414.77563211487</v>
      </c>
      <c r="J60" s="168">
        <f>IFERROR(MIN('MP Calculations'!$E$30/I60,1),"-")</f>
        <v>0.40513348981719682</v>
      </c>
      <c r="K60" s="12"/>
      <c r="L60" s="159">
        <v>66.432350999999997</v>
      </c>
      <c r="M60" s="187" t="s">
        <v>294</v>
      </c>
      <c r="N60" s="187">
        <v>192.78728599999999</v>
      </c>
      <c r="O60" s="186">
        <f t="shared" si="2"/>
        <v>12807.312651889386</v>
      </c>
      <c r="P60" s="186">
        <f t="shared" si="3"/>
        <v>5188.6712698398842</v>
      </c>
      <c r="Q60" s="215">
        <f>IF(P60="-",0,P60/(1+'General inputs'!$H$30)^'MP Calculations'!$C$40)</f>
        <v>11525.538445213073</v>
      </c>
    </row>
    <row r="61" spans="3:17">
      <c r="C61" s="159"/>
      <c r="D61" s="165" t="s">
        <v>281</v>
      </c>
      <c r="E61" s="162">
        <v>25728</v>
      </c>
      <c r="F61" s="166" t="str">
        <f t="shared" si="1"/>
        <v>Date check - OK</v>
      </c>
      <c r="G61" s="68"/>
      <c r="H61" s="162" t="s">
        <v>293</v>
      </c>
      <c r="I61" s="173">
        <v>20414.77563211487</v>
      </c>
      <c r="J61" s="168">
        <f>IFERROR(MIN('MP Calculations'!$E$30/I61,1),"-")</f>
        <v>0.40513348981719682</v>
      </c>
      <c r="K61" s="12"/>
      <c r="L61" s="159">
        <v>0.70731900000000003</v>
      </c>
      <c r="M61" s="187" t="s">
        <v>294</v>
      </c>
      <c r="N61" s="187">
        <v>192.78728599999999</v>
      </c>
      <c r="O61" s="186">
        <f t="shared" si="2"/>
        <v>136.362110346234</v>
      </c>
      <c r="P61" s="186">
        <f t="shared" si="3"/>
        <v>55.244857643407464</v>
      </c>
      <c r="Q61" s="215">
        <f>IF(P61="-",0,P61/(1+'General inputs'!$H$30)^'MP Calculations'!$C$40)</f>
        <v>122.71479489758937</v>
      </c>
    </row>
    <row r="62" spans="3:17">
      <c r="C62" s="159"/>
      <c r="D62" s="165" t="s">
        <v>281</v>
      </c>
      <c r="E62" s="162">
        <v>25728</v>
      </c>
      <c r="F62" s="166" t="str">
        <f t="shared" si="1"/>
        <v>Date check - OK</v>
      </c>
      <c r="G62" s="68"/>
      <c r="H62" s="162" t="s">
        <v>293</v>
      </c>
      <c r="I62" s="173">
        <v>20414.77563211487</v>
      </c>
      <c r="J62" s="168">
        <f>IFERROR(MIN('MP Calculations'!$E$30/I62,1),"-")</f>
        <v>0.40513348981719682</v>
      </c>
      <c r="K62" s="12"/>
      <c r="L62" s="159">
        <v>4.1677670000000004</v>
      </c>
      <c r="M62" s="187" t="s">
        <v>294</v>
      </c>
      <c r="N62" s="187">
        <v>192.78728599999999</v>
      </c>
      <c r="O62" s="186">
        <f t="shared" si="2"/>
        <v>803.4924886103621</v>
      </c>
      <c r="P62" s="186">
        <f t="shared" si="3"/>
        <v>325.5217159526203</v>
      </c>
      <c r="Q62" s="215">
        <f>IF(P62="-",0,P62/(1+'General inputs'!$H$30)^'MP Calculations'!$C$40)</f>
        <v>723.07780871988655</v>
      </c>
    </row>
    <row r="63" spans="3:17">
      <c r="C63" s="159"/>
      <c r="D63" s="165" t="s">
        <v>281</v>
      </c>
      <c r="E63" s="162">
        <v>26093</v>
      </c>
      <c r="F63" s="166" t="str">
        <f t="shared" si="1"/>
        <v>Date check - OK</v>
      </c>
      <c r="G63" s="68"/>
      <c r="H63" s="162" t="s">
        <v>293</v>
      </c>
      <c r="I63" s="173">
        <v>20414.77563211487</v>
      </c>
      <c r="J63" s="168">
        <f>IFERROR(MIN('MP Calculations'!$E$30/I63,1),"-")</f>
        <v>0.40513348981719682</v>
      </c>
      <c r="K63" s="12"/>
      <c r="L63" s="159">
        <v>0.2611</v>
      </c>
      <c r="M63" s="187" t="s">
        <v>294</v>
      </c>
      <c r="N63" s="187">
        <v>192.78728599999999</v>
      </c>
      <c r="O63" s="186">
        <f t="shared" si="2"/>
        <v>50.336760374599997</v>
      </c>
      <c r="P63" s="186">
        <f t="shared" si="3"/>
        <v>20.393107396653683</v>
      </c>
      <c r="Q63" s="215">
        <f>IF(P63="-",0,P63/(1+'General inputs'!$H$30)^'MP Calculations'!$C$40)</f>
        <v>45.298985249598246</v>
      </c>
    </row>
    <row r="64" spans="3:17">
      <c r="C64" s="159"/>
      <c r="D64" s="165" t="s">
        <v>281</v>
      </c>
      <c r="E64" s="162">
        <v>26093</v>
      </c>
      <c r="F64" s="166" t="str">
        <f t="shared" si="1"/>
        <v>Date check - OK</v>
      </c>
      <c r="G64" s="68"/>
      <c r="H64" s="162" t="s">
        <v>293</v>
      </c>
      <c r="I64" s="173">
        <v>20414.77563211487</v>
      </c>
      <c r="J64" s="168">
        <f>IFERROR(MIN('MP Calculations'!$E$30/I64,1),"-")</f>
        <v>0.40513348981719682</v>
      </c>
      <c r="K64" s="12"/>
      <c r="L64" s="159">
        <v>4.4419740000000001</v>
      </c>
      <c r="M64" s="187" t="s">
        <v>294</v>
      </c>
      <c r="N64" s="187">
        <v>192.78728599999999</v>
      </c>
      <c r="O64" s="186">
        <f t="shared" si="2"/>
        <v>856.35611194256398</v>
      </c>
      <c r="P64" s="186">
        <f t="shared" si="3"/>
        <v>346.93854015757699</v>
      </c>
      <c r="Q64" s="215">
        <f>IF(P64="-",0,P64/(1+'General inputs'!$H$30)^'MP Calculations'!$C$40)</f>
        <v>770.6507648605857</v>
      </c>
    </row>
    <row r="65" spans="3:17">
      <c r="C65" s="159"/>
      <c r="D65" s="165" t="s">
        <v>281</v>
      </c>
      <c r="E65" s="162">
        <v>26299</v>
      </c>
      <c r="F65" s="166" t="str">
        <f t="shared" si="1"/>
        <v>Date check - OK</v>
      </c>
      <c r="G65" s="68"/>
      <c r="H65" s="162" t="s">
        <v>293</v>
      </c>
      <c r="I65" s="173">
        <v>20414.77563211487</v>
      </c>
      <c r="J65" s="168">
        <f>IFERROR(MIN('MP Calculations'!$E$30/I65,1),"-")</f>
        <v>0.40513348981719682</v>
      </c>
      <c r="K65" s="12"/>
      <c r="L65" s="159">
        <v>47.164461000000003</v>
      </c>
      <c r="M65" s="187" t="s">
        <v>294</v>
      </c>
      <c r="N65" s="187">
        <v>192.78728599999999</v>
      </c>
      <c r="O65" s="186">
        <f t="shared" si="2"/>
        <v>9092.708431842846</v>
      </c>
      <c r="P65" s="186">
        <f t="shared" si="3"/>
        <v>3683.7606988827433</v>
      </c>
      <c r="Q65" s="215">
        <f>IF(P65="-",0,P65/(1+'General inputs'!$H$30)^'MP Calculations'!$C$40)</f>
        <v>8182.69713957967</v>
      </c>
    </row>
    <row r="66" spans="3:17">
      <c r="C66" s="159"/>
      <c r="D66" s="165" t="s">
        <v>281</v>
      </c>
      <c r="E66" s="162">
        <v>26299</v>
      </c>
      <c r="F66" s="166" t="str">
        <f t="shared" si="1"/>
        <v>Date check - OK</v>
      </c>
      <c r="G66" s="68"/>
      <c r="H66" s="162" t="s">
        <v>293</v>
      </c>
      <c r="I66" s="173">
        <v>20414.77563211487</v>
      </c>
      <c r="J66" s="168">
        <f>IFERROR(MIN('MP Calculations'!$E$30/I66,1),"-")</f>
        <v>0.40513348981719682</v>
      </c>
      <c r="K66" s="12"/>
      <c r="L66" s="159">
        <v>25.502922000000002</v>
      </c>
      <c r="M66" s="187" t="s">
        <v>294</v>
      </c>
      <c r="N66" s="187">
        <v>192.78728599999999</v>
      </c>
      <c r="O66" s="186">
        <f t="shared" si="2"/>
        <v>4916.6391174496921</v>
      </c>
      <c r="P66" s="186">
        <f t="shared" si="3"/>
        <v>1991.8951638241365</v>
      </c>
      <c r="Q66" s="215">
        <f>IF(P66="-",0,P66/(1+'General inputs'!$H$30)^'MP Calculations'!$C$40)</f>
        <v>4424.5748276509185</v>
      </c>
    </row>
    <row r="67" spans="3:17">
      <c r="C67" s="159"/>
      <c r="D67" s="165" t="s">
        <v>281</v>
      </c>
      <c r="E67" s="162">
        <v>26299</v>
      </c>
      <c r="F67" s="166" t="str">
        <f t="shared" si="1"/>
        <v>Date check - OK</v>
      </c>
      <c r="G67" s="68"/>
      <c r="H67" s="162" t="s">
        <v>293</v>
      </c>
      <c r="I67" s="173">
        <v>20414.77563211487</v>
      </c>
      <c r="J67" s="168">
        <f>IFERROR(MIN('MP Calculations'!$E$30/I67,1),"-")</f>
        <v>0.40513348981719682</v>
      </c>
      <c r="K67" s="12"/>
      <c r="L67" s="159">
        <v>129.42460199999999</v>
      </c>
      <c r="M67" s="187" t="s">
        <v>294</v>
      </c>
      <c r="N67" s="187">
        <v>192.78728599999999</v>
      </c>
      <c r="O67" s="186">
        <f t="shared" si="2"/>
        <v>24951.41776121017</v>
      </c>
      <c r="P67" s="186">
        <f t="shared" si="3"/>
        <v>10108.654953485864</v>
      </c>
      <c r="Q67" s="215">
        <f>IF(P67="-",0,P67/(1+'General inputs'!$H$30)^'MP Calculations'!$C$40)</f>
        <v>22454.24410928044</v>
      </c>
    </row>
    <row r="68" spans="3:17">
      <c r="C68" s="159"/>
      <c r="D68" s="165" t="s">
        <v>281</v>
      </c>
      <c r="E68" s="162">
        <v>26299</v>
      </c>
      <c r="F68" s="166" t="str">
        <f t="shared" si="1"/>
        <v>Date check - OK</v>
      </c>
      <c r="G68" s="68"/>
      <c r="H68" s="162" t="s">
        <v>293</v>
      </c>
      <c r="I68" s="173">
        <v>20414.77563211487</v>
      </c>
      <c r="J68" s="168">
        <f>IFERROR(MIN('MP Calculations'!$E$30/I68,1),"-")</f>
        <v>0.40513348981719682</v>
      </c>
      <c r="K68" s="12"/>
      <c r="L68" s="159">
        <v>47.791586000000002</v>
      </c>
      <c r="M68" s="187" t="s">
        <v>294</v>
      </c>
      <c r="N68" s="187">
        <v>192.78728599999999</v>
      </c>
      <c r="O68" s="186">
        <f t="shared" si="2"/>
        <v>9213.6101585755969</v>
      </c>
      <c r="P68" s="186">
        <f t="shared" si="3"/>
        <v>3732.742037358908</v>
      </c>
      <c r="Q68" s="215">
        <f>IF(P68="-",0,P68/(1+'General inputs'!$H$30)^'MP Calculations'!$C$40)</f>
        <v>8291.4988482148856</v>
      </c>
    </row>
    <row r="69" spans="3:17">
      <c r="C69" s="159"/>
      <c r="D69" s="165" t="s">
        <v>281</v>
      </c>
      <c r="E69" s="162">
        <v>26299</v>
      </c>
      <c r="F69" s="166" t="str">
        <f t="shared" si="1"/>
        <v>Date check - OK</v>
      </c>
      <c r="G69" s="68"/>
      <c r="H69" s="162" t="s">
        <v>293</v>
      </c>
      <c r="I69" s="173">
        <v>20414.77563211487</v>
      </c>
      <c r="J69" s="168">
        <f>IFERROR(MIN('MP Calculations'!$E$30/I69,1),"-")</f>
        <v>0.40513348981719682</v>
      </c>
      <c r="K69" s="12"/>
      <c r="L69" s="159">
        <v>60.834045000000003</v>
      </c>
      <c r="M69" s="187" t="s">
        <v>294</v>
      </c>
      <c r="N69" s="187">
        <v>192.78728599999999</v>
      </c>
      <c r="O69" s="186">
        <f t="shared" si="2"/>
        <v>11728.030431951871</v>
      </c>
      <c r="P69" s="186">
        <f t="shared" si="3"/>
        <v>4751.4178975789482</v>
      </c>
      <c r="Q69" s="215">
        <f>IF(P69="-",0,P69/(1+'General inputs'!$H$30)^'MP Calculations'!$C$40)</f>
        <v>10554.272336761382</v>
      </c>
    </row>
    <row r="70" spans="3:17">
      <c r="C70" s="159"/>
      <c r="D70" s="165" t="s">
        <v>281</v>
      </c>
      <c r="E70" s="162">
        <v>26299</v>
      </c>
      <c r="F70" s="166" t="str">
        <f t="shared" si="1"/>
        <v>Date check - OK</v>
      </c>
      <c r="G70" s="68"/>
      <c r="H70" s="162" t="s">
        <v>293</v>
      </c>
      <c r="I70" s="173">
        <v>20414.77563211487</v>
      </c>
      <c r="J70" s="168">
        <f>IFERROR(MIN('MP Calculations'!$E$30/I70,1),"-")</f>
        <v>0.40513348981719682</v>
      </c>
      <c r="K70" s="12"/>
      <c r="L70" s="159">
        <v>37.889094</v>
      </c>
      <c r="M70" s="187" t="s">
        <v>294</v>
      </c>
      <c r="N70" s="187">
        <v>192.78728599999999</v>
      </c>
      <c r="O70" s="186">
        <f t="shared" si="2"/>
        <v>7304.5356012588836</v>
      </c>
      <c r="P70" s="186">
        <f t="shared" si="3"/>
        <v>2959.3119996319674</v>
      </c>
      <c r="Q70" s="215">
        <f>IF(P70="-",0,P70/(1+'General inputs'!$H$30)^'MP Calculations'!$C$40)</f>
        <v>6573.4872088343218</v>
      </c>
    </row>
    <row r="71" spans="3:17">
      <c r="C71" s="159"/>
      <c r="D71" s="165" t="s">
        <v>281</v>
      </c>
      <c r="E71" s="162">
        <v>26299</v>
      </c>
      <c r="F71" s="166" t="str">
        <f t="shared" si="1"/>
        <v>Date check - OK</v>
      </c>
      <c r="G71" s="68"/>
      <c r="H71" s="162" t="s">
        <v>293</v>
      </c>
      <c r="I71" s="173">
        <v>20414.77563211487</v>
      </c>
      <c r="J71" s="168">
        <f>IFERROR(MIN('MP Calculations'!$E$30/I71,1),"-")</f>
        <v>0.40513348981719682</v>
      </c>
      <c r="K71" s="12"/>
      <c r="L71" s="159">
        <v>0.74175500000000005</v>
      </c>
      <c r="M71" s="187" t="s">
        <v>294</v>
      </c>
      <c r="N71" s="187">
        <v>192.78728599999999</v>
      </c>
      <c r="O71" s="186">
        <f t="shared" si="2"/>
        <v>143.00093332693001</v>
      </c>
      <c r="P71" s="186">
        <f t="shared" si="3"/>
        <v>57.934467165855438</v>
      </c>
      <c r="Q71" s="215">
        <f>IF(P71="-",0,P71/(1+'General inputs'!$H$30)^'MP Calculations'!$C$40)</f>
        <v>128.68919495907986</v>
      </c>
    </row>
    <row r="72" spans="3:17">
      <c r="C72" s="159"/>
      <c r="D72" s="165" t="s">
        <v>281</v>
      </c>
      <c r="E72" s="162">
        <v>26299</v>
      </c>
      <c r="F72" s="166" t="str">
        <f t="shared" si="1"/>
        <v>Date check - OK</v>
      </c>
      <c r="G72" s="68"/>
      <c r="H72" s="162" t="s">
        <v>293</v>
      </c>
      <c r="I72" s="173">
        <v>20414.77563211487</v>
      </c>
      <c r="J72" s="168">
        <f>IFERROR(MIN('MP Calculations'!$E$30/I72,1),"-")</f>
        <v>0.40513348981719682</v>
      </c>
      <c r="K72" s="12"/>
      <c r="L72" s="159">
        <v>1.4659880000000001</v>
      </c>
      <c r="M72" s="187" t="s">
        <v>294</v>
      </c>
      <c r="N72" s="187">
        <v>192.78728599999999</v>
      </c>
      <c r="O72" s="186">
        <f t="shared" si="2"/>
        <v>282.62384782856799</v>
      </c>
      <c r="P72" s="186">
        <f t="shared" si="3"/>
        <v>114.50038577635213</v>
      </c>
      <c r="Q72" s="215">
        <f>IF(P72="-",0,P72/(1+'General inputs'!$H$30)^'MP Calculations'!$C$40)</f>
        <v>254.33844805855242</v>
      </c>
    </row>
    <row r="73" spans="3:17">
      <c r="C73" s="159"/>
      <c r="D73" s="165" t="s">
        <v>281</v>
      </c>
      <c r="E73" s="162">
        <v>26299</v>
      </c>
      <c r="F73" s="166" t="str">
        <f t="shared" si="1"/>
        <v>Date check - OK</v>
      </c>
      <c r="G73" s="68"/>
      <c r="H73" s="162" t="s">
        <v>293</v>
      </c>
      <c r="I73" s="173">
        <v>20414.77563211487</v>
      </c>
      <c r="J73" s="168">
        <f>IFERROR(MIN('MP Calculations'!$E$30/I73,1),"-")</f>
        <v>0.40513348981719682</v>
      </c>
      <c r="K73" s="12"/>
      <c r="L73" s="159">
        <v>69.479855000000001</v>
      </c>
      <c r="M73" s="187" t="s">
        <v>294</v>
      </c>
      <c r="N73" s="187">
        <v>192.78728599999999</v>
      </c>
      <c r="O73" s="186">
        <f t="shared" si="2"/>
        <v>13394.83267712353</v>
      </c>
      <c r="P73" s="186">
        <f t="shared" si="3"/>
        <v>5426.6953080004805</v>
      </c>
      <c r="Q73" s="215">
        <f>IF(P73="-",0,P73/(1+'General inputs'!$H$30)^'MP Calculations'!$C$40)</f>
        <v>12054.258624240616</v>
      </c>
    </row>
    <row r="74" spans="3:17">
      <c r="C74" s="159"/>
      <c r="D74" s="165" t="s">
        <v>281</v>
      </c>
      <c r="E74" s="162">
        <v>26299</v>
      </c>
      <c r="F74" s="166" t="str">
        <f t="shared" si="1"/>
        <v>Date check - OK</v>
      </c>
      <c r="G74" s="68"/>
      <c r="H74" s="162" t="s">
        <v>293</v>
      </c>
      <c r="I74" s="173">
        <v>20414.77563211487</v>
      </c>
      <c r="J74" s="168">
        <f>IFERROR(MIN('MP Calculations'!$E$30/I74,1),"-")</f>
        <v>0.40513348981719682</v>
      </c>
      <c r="K74" s="12"/>
      <c r="L74" s="159">
        <v>60.654457999999998</v>
      </c>
      <c r="M74" s="187" t="s">
        <v>294</v>
      </c>
      <c r="N74" s="187">
        <v>192.78728599999999</v>
      </c>
      <c r="O74" s="186">
        <f t="shared" si="2"/>
        <v>11693.408341620987</v>
      </c>
      <c r="P74" s="186">
        <f t="shared" si="3"/>
        <v>4737.3913292984307</v>
      </c>
      <c r="Q74" s="215">
        <f>IF(P74="-",0,P74/(1+'General inputs'!$H$30)^'MP Calculations'!$C$40)</f>
        <v>10523.115274853988</v>
      </c>
    </row>
    <row r="75" spans="3:17">
      <c r="C75" s="159"/>
      <c r="D75" s="165" t="s">
        <v>281</v>
      </c>
      <c r="E75" s="162">
        <v>26299</v>
      </c>
      <c r="F75" s="166" t="str">
        <f t="shared" si="1"/>
        <v>Date check - OK</v>
      </c>
      <c r="G75" s="68"/>
      <c r="H75" s="162" t="s">
        <v>293</v>
      </c>
      <c r="I75" s="173">
        <v>20414.77563211487</v>
      </c>
      <c r="J75" s="168">
        <f>IFERROR(MIN('MP Calculations'!$E$30/I75,1),"-")</f>
        <v>0.40513348981719682</v>
      </c>
      <c r="K75" s="12"/>
      <c r="L75" s="159">
        <v>22.109933999999999</v>
      </c>
      <c r="M75" s="187" t="s">
        <v>294</v>
      </c>
      <c r="N75" s="187">
        <v>192.78728599999999</v>
      </c>
      <c r="O75" s="186">
        <f t="shared" si="2"/>
        <v>4262.5141694991235</v>
      </c>
      <c r="P75" s="186">
        <f t="shared" si="3"/>
        <v>1726.8872408844304</v>
      </c>
      <c r="Q75" s="215">
        <f>IF(P75="-",0,P75/(1+'General inputs'!$H$30)^'MP Calculations'!$C$40)</f>
        <v>3835.9156420359659</v>
      </c>
    </row>
    <row r="76" spans="3:17">
      <c r="C76" s="159"/>
      <c r="D76" s="165" t="s">
        <v>281</v>
      </c>
      <c r="E76" s="162">
        <v>26299</v>
      </c>
      <c r="F76" s="166" t="str">
        <f t="shared" si="1"/>
        <v>Date check - OK</v>
      </c>
      <c r="G76" s="68"/>
      <c r="H76" s="162" t="s">
        <v>293</v>
      </c>
      <c r="I76" s="173">
        <v>20414.77563211487</v>
      </c>
      <c r="J76" s="168">
        <f>IFERROR(MIN('MP Calculations'!$E$30/I76,1),"-")</f>
        <v>0.40513348981719682</v>
      </c>
      <c r="K76" s="12"/>
      <c r="L76" s="159">
        <v>1.4677610000000001</v>
      </c>
      <c r="M76" s="187" t="s">
        <v>294</v>
      </c>
      <c r="N76" s="187">
        <v>192.78728599999999</v>
      </c>
      <c r="O76" s="186">
        <f t="shared" si="2"/>
        <v>282.96565968664601</v>
      </c>
      <c r="P76" s="186">
        <f t="shared" si="3"/>
        <v>114.63886520727618</v>
      </c>
      <c r="Q76" s="215">
        <f>IF(P76="-",0,P76/(1+'General inputs'!$H$30)^'MP Calculations'!$C$40)</f>
        <v>254.64605089596162</v>
      </c>
    </row>
    <row r="77" spans="3:17">
      <c r="C77" s="159"/>
      <c r="D77" s="165" t="s">
        <v>281</v>
      </c>
      <c r="E77" s="162">
        <v>26299</v>
      </c>
      <c r="F77" s="166" t="str">
        <f t="shared" si="1"/>
        <v>Date check - OK</v>
      </c>
      <c r="G77" s="68"/>
      <c r="H77" s="162" t="s">
        <v>293</v>
      </c>
      <c r="I77" s="173">
        <v>20414.77563211487</v>
      </c>
      <c r="J77" s="168">
        <f>IFERROR(MIN('MP Calculations'!$E$30/I77,1),"-")</f>
        <v>0.40513348981719682</v>
      </c>
      <c r="K77" s="12"/>
      <c r="L77" s="159">
        <v>17.871359000000002</v>
      </c>
      <c r="M77" s="187" t="s">
        <v>294</v>
      </c>
      <c r="N77" s="187">
        <v>192.78728599999999</v>
      </c>
      <c r="O77" s="186">
        <f t="shared" si="2"/>
        <v>3445.3707987416742</v>
      </c>
      <c r="P77" s="186">
        <f t="shared" si="3"/>
        <v>1395.8350954084774</v>
      </c>
      <c r="Q77" s="215">
        <f>IF(P77="-",0,P77/(1+'General inputs'!$H$30)^'MP Calculations'!$C$40)</f>
        <v>3100.5531510198198</v>
      </c>
    </row>
    <row r="78" spans="3:17">
      <c r="C78" s="159"/>
      <c r="D78" s="165" t="s">
        <v>281</v>
      </c>
      <c r="E78" s="162">
        <v>26299</v>
      </c>
      <c r="F78" s="166" t="str">
        <f t="shared" si="1"/>
        <v>Date check - OK</v>
      </c>
      <c r="G78" s="68"/>
      <c r="H78" s="162" t="s">
        <v>293</v>
      </c>
      <c r="I78" s="173">
        <v>20414.77563211487</v>
      </c>
      <c r="J78" s="168">
        <f>IFERROR(MIN('MP Calculations'!$E$30/I78,1),"-")</f>
        <v>0.40513348981719682</v>
      </c>
      <c r="K78" s="12"/>
      <c r="L78" s="159">
        <v>0.59736900000000004</v>
      </c>
      <c r="M78" s="187" t="s">
        <v>294</v>
      </c>
      <c r="N78" s="187">
        <v>192.78728599999999</v>
      </c>
      <c r="O78" s="186">
        <f t="shared" si="2"/>
        <v>115.165148250534</v>
      </c>
      <c r="P78" s="186">
        <f t="shared" si="3"/>
        <v>46.657258416053679</v>
      </c>
      <c r="Q78" s="215">
        <f>IF(P78="-",0,P78/(1+'General inputs'!$H$30)^'MP Calculations'!$C$40)</f>
        <v>103.63925514962565</v>
      </c>
    </row>
    <row r="79" spans="3:17">
      <c r="C79" s="159"/>
      <c r="D79" s="165" t="s">
        <v>281</v>
      </c>
      <c r="E79" s="162">
        <v>26299</v>
      </c>
      <c r="F79" s="166" t="str">
        <f t="shared" si="1"/>
        <v>Date check - OK</v>
      </c>
      <c r="G79" s="68"/>
      <c r="H79" s="162" t="s">
        <v>293</v>
      </c>
      <c r="I79" s="173">
        <v>20414.77563211487</v>
      </c>
      <c r="J79" s="168">
        <f>IFERROR(MIN('MP Calculations'!$E$30/I79,1),"-")</f>
        <v>0.40513348981719682</v>
      </c>
      <c r="K79" s="12"/>
      <c r="L79" s="159">
        <v>0.58657499999999996</v>
      </c>
      <c r="M79" s="187" t="s">
        <v>294</v>
      </c>
      <c r="N79" s="187">
        <v>192.78728599999999</v>
      </c>
      <c r="O79" s="186">
        <f t="shared" si="2"/>
        <v>113.08420228544999</v>
      </c>
      <c r="P79" s="186">
        <f t="shared" si="3"/>
        <v>45.814197515098179</v>
      </c>
      <c r="Q79" s="215">
        <f>IF(P79="-",0,P79/(1+'General inputs'!$H$30)^'MP Calculations'!$C$40)</f>
        <v>101.76657323930712</v>
      </c>
    </row>
    <row r="80" spans="3:17">
      <c r="C80" s="159"/>
      <c r="D80" s="165" t="s">
        <v>281</v>
      </c>
      <c r="E80" s="162">
        <v>26299</v>
      </c>
      <c r="F80" s="166" t="str">
        <f t="shared" si="1"/>
        <v>Date check - OK</v>
      </c>
      <c r="G80" s="68"/>
      <c r="H80" s="162" t="s">
        <v>293</v>
      </c>
      <c r="I80" s="173">
        <v>20414.77563211487</v>
      </c>
      <c r="J80" s="168">
        <f>IFERROR(MIN('MP Calculations'!$E$30/I80,1),"-")</f>
        <v>0.40513348981719682</v>
      </c>
      <c r="K80" s="12"/>
      <c r="L80" s="159">
        <v>66.455596</v>
      </c>
      <c r="M80" s="187" t="s">
        <v>294</v>
      </c>
      <c r="N80" s="187">
        <v>192.78728599999999</v>
      </c>
      <c r="O80" s="186">
        <f t="shared" si="2"/>
        <v>12811.793992352455</v>
      </c>
      <c r="P80" s="186">
        <f t="shared" si="3"/>
        <v>5190.4868109407471</v>
      </c>
      <c r="Q80" s="215">
        <f>IF(P80="-",0,P80/(1+'General inputs'!$H$30)^'MP Calculations'!$C$40)</f>
        <v>11529.57128669958</v>
      </c>
    </row>
    <row r="81" spans="3:17">
      <c r="C81" s="159"/>
      <c r="D81" s="165" t="s">
        <v>281</v>
      </c>
      <c r="E81" s="162">
        <v>26299</v>
      </c>
      <c r="F81" s="166" t="str">
        <f t="shared" si="1"/>
        <v>Date check - OK</v>
      </c>
      <c r="G81" s="68"/>
      <c r="H81" s="162" t="s">
        <v>293</v>
      </c>
      <c r="I81" s="173">
        <v>20414.77563211487</v>
      </c>
      <c r="J81" s="168">
        <f>IFERROR(MIN('MP Calculations'!$E$30/I81,1),"-")</f>
        <v>0.40513348981719682</v>
      </c>
      <c r="K81" s="12"/>
      <c r="L81" s="159">
        <v>0.81267800000000001</v>
      </c>
      <c r="M81" s="187" t="s">
        <v>294</v>
      </c>
      <c r="N81" s="187">
        <v>192.78728599999999</v>
      </c>
      <c r="O81" s="186">
        <f t="shared" si="2"/>
        <v>156.673986011908</v>
      </c>
      <c r="P81" s="186">
        <f t="shared" si="3"/>
        <v>63.473878716574966</v>
      </c>
      <c r="Q81" s="215">
        <f>IF(P81="-",0,P81/(1+'General inputs'!$H$30)^'MP Calculations'!$C$40)</f>
        <v>140.99382893402148</v>
      </c>
    </row>
    <row r="82" spans="3:17">
      <c r="C82" s="159"/>
      <c r="D82" s="165" t="s">
        <v>283</v>
      </c>
      <c r="E82" s="162">
        <v>26567</v>
      </c>
      <c r="F82" s="166" t="str">
        <f t="shared" si="1"/>
        <v>Date check - OK</v>
      </c>
      <c r="G82" s="68"/>
      <c r="H82" s="162" t="s">
        <v>293</v>
      </c>
      <c r="I82" s="173">
        <v>20414.77563211487</v>
      </c>
      <c r="J82" s="168">
        <f>IFERROR(MIN('MP Calculations'!$E$30/I82,1),"-")</f>
        <v>0.40513348981719682</v>
      </c>
      <c r="K82" s="12"/>
      <c r="L82" s="159">
        <v>0.93574299999999999</v>
      </c>
      <c r="M82" s="187" t="s">
        <v>294</v>
      </c>
      <c r="N82" s="187">
        <v>421.28581700000001</v>
      </c>
      <c r="O82" s="186">
        <f t="shared" si="2"/>
        <v>394.21525425703101</v>
      </c>
      <c r="P82" s="186">
        <f t="shared" si="3"/>
        <v>159.70980169632452</v>
      </c>
      <c r="Q82" s="215">
        <f>IF(P82="-",0,P82/(1+'General inputs'!$H$30)^'MP Calculations'!$C$40)</f>
        <v>354.76162658983543</v>
      </c>
    </row>
    <row r="83" spans="3:17">
      <c r="C83" s="159"/>
      <c r="D83" s="165" t="s">
        <v>283</v>
      </c>
      <c r="E83" s="162">
        <v>26567</v>
      </c>
      <c r="F83" s="166" t="str">
        <f t="shared" si="1"/>
        <v>Date check - OK</v>
      </c>
      <c r="G83" s="68"/>
      <c r="H83" s="162" t="s">
        <v>293</v>
      </c>
      <c r="I83" s="173">
        <v>20414.77563211487</v>
      </c>
      <c r="J83" s="168">
        <f>IFERROR(MIN('MP Calculations'!$E$30/I83,1),"-")</f>
        <v>0.40513348981719682</v>
      </c>
      <c r="K83" s="12"/>
      <c r="L83" s="159">
        <v>31.881612000000001</v>
      </c>
      <c r="M83" s="187" t="s">
        <v>294</v>
      </c>
      <c r="N83" s="187">
        <v>421.28581700000001</v>
      </c>
      <c r="O83" s="186">
        <f t="shared" si="2"/>
        <v>13431.270958697005</v>
      </c>
      <c r="P83" s="186">
        <f t="shared" si="3"/>
        <v>5441.4576761772842</v>
      </c>
      <c r="Q83" s="215">
        <f>IF(P83="-",0,P83/(1+'General inputs'!$H$30)^'MP Calculations'!$C$40)</f>
        <v>12087.050110367929</v>
      </c>
    </row>
    <row r="84" spans="3:17">
      <c r="C84" s="159"/>
      <c r="D84" s="165" t="s">
        <v>283</v>
      </c>
      <c r="E84" s="162">
        <v>26567</v>
      </c>
      <c r="F84" s="166" t="str">
        <f t="shared" si="1"/>
        <v>Date check - OK</v>
      </c>
      <c r="G84" s="68"/>
      <c r="H84" s="162" t="s">
        <v>293</v>
      </c>
      <c r="I84" s="173">
        <v>20414.77563211487</v>
      </c>
      <c r="J84" s="168">
        <f>IFERROR(MIN('MP Calculations'!$E$30/I84,1),"-")</f>
        <v>0.40513348981719682</v>
      </c>
      <c r="K84" s="12"/>
      <c r="L84" s="159">
        <v>8.4927089999999996</v>
      </c>
      <c r="M84" s="187" t="s">
        <v>294</v>
      </c>
      <c r="N84" s="187">
        <v>421.28581700000001</v>
      </c>
      <c r="O84" s="186">
        <f t="shared" si="2"/>
        <v>3577.8578496082528</v>
      </c>
      <c r="P84" s="186">
        <f t="shared" si="3"/>
        <v>1449.5100366816428</v>
      </c>
      <c r="Q84" s="215">
        <f>IF(P84="-",0,P84/(1+'General inputs'!$H$30)^'MP Calculations'!$C$40)</f>
        <v>3219.7807079445261</v>
      </c>
    </row>
    <row r="85" spans="3:17">
      <c r="C85" s="159"/>
      <c r="D85" s="165" t="s">
        <v>283</v>
      </c>
      <c r="E85" s="162">
        <v>26567</v>
      </c>
      <c r="F85" s="166" t="str">
        <f t="shared" si="1"/>
        <v>Date check - OK</v>
      </c>
      <c r="G85" s="68"/>
      <c r="H85" s="162" t="s">
        <v>293</v>
      </c>
      <c r="I85" s="173">
        <v>20414.77563211487</v>
      </c>
      <c r="J85" s="168">
        <f>IFERROR(MIN('MP Calculations'!$E$30/I85,1),"-")</f>
        <v>0.40513348981719682</v>
      </c>
      <c r="K85" s="12"/>
      <c r="L85" s="159">
        <v>132.5686</v>
      </c>
      <c r="M85" s="187" t="s">
        <v>294</v>
      </c>
      <c r="N85" s="187">
        <v>421.28581700000001</v>
      </c>
      <c r="O85" s="186">
        <f t="shared" si="2"/>
        <v>55849.2709595462</v>
      </c>
      <c r="P85" s="186">
        <f t="shared" si="3"/>
        <v>22626.410047587178</v>
      </c>
      <c r="Q85" s="215">
        <f>IF(P85="-",0,P85/(1+'General inputs'!$H$30)^'MP Calculations'!$C$40)</f>
        <v>50259.7958742275</v>
      </c>
    </row>
    <row r="86" spans="3:17">
      <c r="C86" s="159"/>
      <c r="D86" s="165" t="s">
        <v>283</v>
      </c>
      <c r="E86" s="162">
        <v>26567</v>
      </c>
      <c r="F86" s="166" t="str">
        <f t="shared" si="1"/>
        <v>Date check - OK</v>
      </c>
      <c r="G86" s="68"/>
      <c r="H86" s="162" t="s">
        <v>293</v>
      </c>
      <c r="I86" s="173">
        <v>20414.77563211487</v>
      </c>
      <c r="J86" s="168">
        <f>IFERROR(MIN('MP Calculations'!$E$30/I86,1),"-")</f>
        <v>0.40513348981719682</v>
      </c>
      <c r="K86" s="12"/>
      <c r="L86" s="159">
        <v>247.45594299999999</v>
      </c>
      <c r="M86" s="187" t="s">
        <v>294</v>
      </c>
      <c r="N86" s="187">
        <v>421.28581700000001</v>
      </c>
      <c r="O86" s="186">
        <f t="shared" si="2"/>
        <v>104249.67911826044</v>
      </c>
      <c r="P86" s="186">
        <f t="shared" si="3"/>
        <v>42235.036313503799</v>
      </c>
      <c r="Q86" s="215">
        <f>IF(P86="-",0,P86/(1+'General inputs'!$H$30)^'MP Calculations'!$C$40)</f>
        <v>93816.221813042255</v>
      </c>
    </row>
    <row r="87" spans="3:17">
      <c r="C87" s="159"/>
      <c r="D87" s="165" t="s">
        <v>283</v>
      </c>
      <c r="E87" s="162">
        <v>26567</v>
      </c>
      <c r="F87" s="166" t="str">
        <f t="shared" ref="F87:F150" si="4">IF(E87="","-",IF(OR(E87&lt;$E$15,E87&gt;$E$16),"ERROR - date outside of range","Date check - OK"))</f>
        <v>Date check - OK</v>
      </c>
      <c r="G87" s="68"/>
      <c r="H87" s="162" t="s">
        <v>293</v>
      </c>
      <c r="I87" s="173">
        <v>20414.77563211487</v>
      </c>
      <c r="J87" s="168">
        <f>IFERROR(MIN('MP Calculations'!$E$30/I87,1),"-")</f>
        <v>0.40513348981719682</v>
      </c>
      <c r="K87" s="12"/>
      <c r="L87" s="159">
        <v>20.585505999999999</v>
      </c>
      <c r="M87" s="187" t="s">
        <v>294</v>
      </c>
      <c r="N87" s="187">
        <v>421.28581700000001</v>
      </c>
      <c r="O87" s="186">
        <f t="shared" ref="O87:O150" si="5">IF(N87="","-",L87*N87)</f>
        <v>8672.3817135684021</v>
      </c>
      <c r="P87" s="186">
        <f t="shared" ref="P87:P150" si="6">IF(O87="-","-",IF(OR(E87&lt;$E$15,E87&gt;$E$16),0,O87*J87))</f>
        <v>3513.4722686448081</v>
      </c>
      <c r="Q87" s="215">
        <f>IF(P87="-",0,P87/(1+'General inputs'!$H$30)^'MP Calculations'!$C$40)</f>
        <v>7804.4373217163438</v>
      </c>
    </row>
    <row r="88" spans="3:17">
      <c r="C88" s="159"/>
      <c r="D88" s="165" t="s">
        <v>283</v>
      </c>
      <c r="E88" s="162">
        <v>26567</v>
      </c>
      <c r="F88" s="166" t="str">
        <f t="shared" si="4"/>
        <v>Date check - OK</v>
      </c>
      <c r="G88" s="68"/>
      <c r="H88" s="162" t="s">
        <v>293</v>
      </c>
      <c r="I88" s="173">
        <v>20414.77563211487</v>
      </c>
      <c r="J88" s="168">
        <f>IFERROR(MIN('MP Calculations'!$E$30/I88,1),"-")</f>
        <v>0.40513348981719682</v>
      </c>
      <c r="K88" s="12"/>
      <c r="L88" s="159">
        <v>31.163889999999999</v>
      </c>
      <c r="M88" s="187" t="s">
        <v>294</v>
      </c>
      <c r="N88" s="187">
        <v>421.28581700000001</v>
      </c>
      <c r="O88" s="186">
        <f t="shared" si="5"/>
        <v>13128.904859548129</v>
      </c>
      <c r="P88" s="186">
        <f t="shared" si="6"/>
        <v>5318.9590432266878</v>
      </c>
      <c r="Q88" s="215">
        <f>IF(P88="-",0,P88/(1+'General inputs'!$H$30)^'MP Calculations'!$C$40)</f>
        <v>11814.945243797396</v>
      </c>
    </row>
    <row r="89" spans="3:17">
      <c r="C89" s="159"/>
      <c r="D89" s="165" t="s">
        <v>283</v>
      </c>
      <c r="E89" s="162">
        <v>26567</v>
      </c>
      <c r="F89" s="166" t="str">
        <f t="shared" si="4"/>
        <v>Date check - OK</v>
      </c>
      <c r="G89" s="68"/>
      <c r="H89" s="162" t="s">
        <v>293</v>
      </c>
      <c r="I89" s="173">
        <v>20414.77563211487</v>
      </c>
      <c r="J89" s="168">
        <f>IFERROR(MIN('MP Calculations'!$E$30/I89,1),"-")</f>
        <v>0.40513348981719682</v>
      </c>
      <c r="K89" s="12"/>
      <c r="L89" s="159">
        <v>1.160857</v>
      </c>
      <c r="M89" s="187" t="s">
        <v>294</v>
      </c>
      <c r="N89" s="187">
        <v>421.28581700000001</v>
      </c>
      <c r="O89" s="186">
        <f t="shared" si="5"/>
        <v>489.05258966516902</v>
      </c>
      <c r="P89" s="186">
        <f t="shared" si="6"/>
        <v>198.1315823551875</v>
      </c>
      <c r="Q89" s="215">
        <f>IF(P89="-",0,P89/(1+'General inputs'!$H$30)^'MP Calculations'!$C$40)</f>
        <v>440.10750554179583</v>
      </c>
    </row>
    <row r="90" spans="3:17">
      <c r="C90" s="159"/>
      <c r="D90" s="165" t="s">
        <v>283</v>
      </c>
      <c r="E90" s="162">
        <v>26567</v>
      </c>
      <c r="F90" s="166" t="str">
        <f t="shared" si="4"/>
        <v>Date check - OK</v>
      </c>
      <c r="G90" s="68"/>
      <c r="H90" s="162" t="s">
        <v>293</v>
      </c>
      <c r="I90" s="173">
        <v>20414.77563211487</v>
      </c>
      <c r="J90" s="168">
        <f>IFERROR(MIN('MP Calculations'!$E$30/I90,1),"-")</f>
        <v>0.40513348981719682</v>
      </c>
      <c r="K90" s="12"/>
      <c r="L90" s="159">
        <v>10.318247</v>
      </c>
      <c r="M90" s="187" t="s">
        <v>294</v>
      </c>
      <c r="N90" s="187">
        <v>421.28581700000001</v>
      </c>
      <c r="O90" s="186">
        <f t="shared" si="5"/>
        <v>4346.9311174027989</v>
      </c>
      <c r="P90" s="186">
        <f t="shared" si="6"/>
        <v>1761.0873735883629</v>
      </c>
      <c r="Q90" s="215">
        <f>IF(P90="-",0,P90/(1+'General inputs'!$H$30)^'MP Calculations'!$C$40)</f>
        <v>3911.8840208002516</v>
      </c>
    </row>
    <row r="91" spans="3:17">
      <c r="C91" s="159"/>
      <c r="D91" s="165" t="s">
        <v>283</v>
      </c>
      <c r="E91" s="162">
        <v>26567</v>
      </c>
      <c r="F91" s="166" t="str">
        <f t="shared" si="4"/>
        <v>Date check - OK</v>
      </c>
      <c r="G91" s="68"/>
      <c r="H91" s="162" t="s">
        <v>293</v>
      </c>
      <c r="I91" s="173">
        <v>20414.77563211487</v>
      </c>
      <c r="J91" s="168">
        <f>IFERROR(MIN('MP Calculations'!$E$30/I91,1),"-")</f>
        <v>0.40513348981719682</v>
      </c>
      <c r="K91" s="12"/>
      <c r="L91" s="159">
        <v>23.533760999999998</v>
      </c>
      <c r="M91" s="187" t="s">
        <v>294</v>
      </c>
      <c r="N91" s="187">
        <v>421.28581700000001</v>
      </c>
      <c r="O91" s="186">
        <f t="shared" si="5"/>
        <v>9914.4397299677366</v>
      </c>
      <c r="P91" s="186">
        <f t="shared" si="6"/>
        <v>4016.6715673840959</v>
      </c>
      <c r="Q91" s="215">
        <f>IF(P91="-",0,P91/(1+'General inputs'!$H$30)^'MP Calculations'!$C$40)</f>
        <v>8922.188391616537</v>
      </c>
    </row>
    <row r="92" spans="3:17">
      <c r="C92" s="159"/>
      <c r="D92" s="165" t="s">
        <v>283</v>
      </c>
      <c r="E92" s="162">
        <v>26567</v>
      </c>
      <c r="F92" s="166" t="str">
        <f t="shared" si="4"/>
        <v>Date check - OK</v>
      </c>
      <c r="G92" s="68"/>
      <c r="H92" s="162" t="s">
        <v>293</v>
      </c>
      <c r="I92" s="173">
        <v>20414.77563211487</v>
      </c>
      <c r="J92" s="168">
        <f>IFERROR(MIN('MP Calculations'!$E$30/I92,1),"-")</f>
        <v>0.40513348981719682</v>
      </c>
      <c r="K92" s="12"/>
      <c r="L92" s="159">
        <v>91.319389999999999</v>
      </c>
      <c r="M92" s="187" t="s">
        <v>294</v>
      </c>
      <c r="N92" s="187">
        <v>421.28581700000001</v>
      </c>
      <c r="O92" s="186">
        <f t="shared" si="5"/>
        <v>38471.563824091631</v>
      </c>
      <c r="P92" s="186">
        <f t="shared" si="6"/>
        <v>15586.118910779263</v>
      </c>
      <c r="Q92" s="215">
        <f>IF(P92="-",0,P92/(1+'General inputs'!$H$30)^'MP Calculations'!$C$40)</f>
        <v>34621.274576023068</v>
      </c>
    </row>
    <row r="93" spans="3:17">
      <c r="C93" s="159"/>
      <c r="D93" s="165" t="s">
        <v>283</v>
      </c>
      <c r="E93" s="162">
        <v>26567</v>
      </c>
      <c r="F93" s="166" t="str">
        <f t="shared" si="4"/>
        <v>Date check - OK</v>
      </c>
      <c r="G93" s="68"/>
      <c r="H93" s="162" t="s">
        <v>293</v>
      </c>
      <c r="I93" s="173">
        <v>20414.77563211487</v>
      </c>
      <c r="J93" s="168">
        <f>IFERROR(MIN('MP Calculations'!$E$30/I93,1),"-")</f>
        <v>0.40513348981719682</v>
      </c>
      <c r="K93" s="12"/>
      <c r="L93" s="159">
        <v>3.731106</v>
      </c>
      <c r="M93" s="187" t="s">
        <v>294</v>
      </c>
      <c r="N93" s="187">
        <v>421.28581700000001</v>
      </c>
      <c r="O93" s="186">
        <f t="shared" si="5"/>
        <v>1571.8620395236021</v>
      </c>
      <c r="P93" s="186">
        <f t="shared" si="6"/>
        <v>636.81395358337352</v>
      </c>
      <c r="Q93" s="215">
        <f>IF(P93="-",0,P93/(1+'General inputs'!$H$30)^'MP Calculations'!$C$40)</f>
        <v>1414.5478336884109</v>
      </c>
    </row>
    <row r="94" spans="3:17">
      <c r="C94" s="159"/>
      <c r="D94" s="165" t="s">
        <v>283</v>
      </c>
      <c r="E94" s="162">
        <v>26567</v>
      </c>
      <c r="F94" s="166" t="str">
        <f t="shared" si="4"/>
        <v>Date check - OK</v>
      </c>
      <c r="G94" s="68"/>
      <c r="H94" s="162" t="s">
        <v>293</v>
      </c>
      <c r="I94" s="173">
        <v>20414.77563211487</v>
      </c>
      <c r="J94" s="168">
        <f>IFERROR(MIN('MP Calculations'!$E$30/I94,1),"-")</f>
        <v>0.40513348981719682</v>
      </c>
      <c r="K94" s="12"/>
      <c r="L94" s="159">
        <v>34.954095000000002</v>
      </c>
      <c r="M94" s="187" t="s">
        <v>294</v>
      </c>
      <c r="N94" s="187">
        <v>421.28581700000001</v>
      </c>
      <c r="O94" s="186">
        <f t="shared" si="5"/>
        <v>14725.664469570616</v>
      </c>
      <c r="P94" s="186">
        <f t="shared" si="6"/>
        <v>5965.8598364342442</v>
      </c>
      <c r="Q94" s="215">
        <f>IF(P94="-",0,P94/(1+'General inputs'!$H$30)^'MP Calculations'!$C$40)</f>
        <v>13251.898863443954</v>
      </c>
    </row>
    <row r="95" spans="3:17">
      <c r="C95" s="159"/>
      <c r="D95" s="165" t="s">
        <v>283</v>
      </c>
      <c r="E95" s="162">
        <v>26567</v>
      </c>
      <c r="F95" s="166" t="str">
        <f t="shared" si="4"/>
        <v>Date check - OK</v>
      </c>
      <c r="G95" s="68"/>
      <c r="H95" s="162" t="s">
        <v>293</v>
      </c>
      <c r="I95" s="173">
        <v>20414.77563211487</v>
      </c>
      <c r="J95" s="168">
        <f>IFERROR(MIN('MP Calculations'!$E$30/I95,1),"-")</f>
        <v>0.40513348981719682</v>
      </c>
      <c r="K95" s="12"/>
      <c r="L95" s="159">
        <v>143.505717</v>
      </c>
      <c r="M95" s="187" t="s">
        <v>294</v>
      </c>
      <c r="N95" s="187">
        <v>421.28581700000001</v>
      </c>
      <c r="O95" s="186">
        <f t="shared" si="5"/>
        <v>60456.923230515793</v>
      </c>
      <c r="P95" s="186">
        <f t="shared" si="6"/>
        <v>24493.124291989221</v>
      </c>
      <c r="Q95" s="215">
        <f>IF(P95="-",0,P95/(1+'General inputs'!$H$30)^'MP Calculations'!$C$40)</f>
        <v>54406.307701858954</v>
      </c>
    </row>
    <row r="96" spans="3:17">
      <c r="C96" s="159"/>
      <c r="D96" s="165" t="s">
        <v>283</v>
      </c>
      <c r="E96" s="162">
        <v>26567</v>
      </c>
      <c r="F96" s="166" t="str">
        <f t="shared" si="4"/>
        <v>Date check - OK</v>
      </c>
      <c r="G96" s="68"/>
      <c r="H96" s="162" t="s">
        <v>293</v>
      </c>
      <c r="I96" s="173">
        <v>20414.77563211487</v>
      </c>
      <c r="J96" s="168">
        <f>IFERROR(MIN('MP Calculations'!$E$30/I96,1),"-")</f>
        <v>0.40513348981719682</v>
      </c>
      <c r="K96" s="12"/>
      <c r="L96" s="159">
        <v>83.050949000000003</v>
      </c>
      <c r="M96" s="187" t="s">
        <v>294</v>
      </c>
      <c r="N96" s="187">
        <v>421.28581700000001</v>
      </c>
      <c r="O96" s="186">
        <f t="shared" si="5"/>
        <v>34988.186902090332</v>
      </c>
      <c r="P96" s="186">
        <f t="shared" si="6"/>
        <v>14174.886262020193</v>
      </c>
      <c r="Q96" s="215">
        <f>IF(P96="-",0,P96/(1+'General inputs'!$H$30)^'MP Calculations'!$C$40)</f>
        <v>31486.519009032894</v>
      </c>
    </row>
    <row r="97" spans="3:17">
      <c r="C97" s="159"/>
      <c r="D97" s="165" t="s">
        <v>283</v>
      </c>
      <c r="E97" s="162">
        <v>26567</v>
      </c>
      <c r="F97" s="166" t="str">
        <f t="shared" si="4"/>
        <v>Date check - OK</v>
      </c>
      <c r="G97" s="68"/>
      <c r="H97" s="162" t="s">
        <v>293</v>
      </c>
      <c r="I97" s="173">
        <v>20414.77563211487</v>
      </c>
      <c r="J97" s="168">
        <f>IFERROR(MIN('MP Calculations'!$E$30/I97,1),"-")</f>
        <v>0.40513348981719682</v>
      </c>
      <c r="K97" s="12"/>
      <c r="L97" s="159">
        <v>1.9998050000000001</v>
      </c>
      <c r="M97" s="187" t="s">
        <v>294</v>
      </c>
      <c r="N97" s="187">
        <v>421.28581700000001</v>
      </c>
      <c r="O97" s="186">
        <f t="shared" si="5"/>
        <v>842.48948326568507</v>
      </c>
      <c r="P97" s="186">
        <f t="shared" si="6"/>
        <v>341.32070448971382</v>
      </c>
      <c r="Q97" s="215">
        <f>IF(P97="-",0,P97/(1+'General inputs'!$H$30)^'MP Calculations'!$C$40)</f>
        <v>758.17192825646134</v>
      </c>
    </row>
    <row r="98" spans="3:17">
      <c r="C98" s="159"/>
      <c r="D98" s="165" t="s">
        <v>283</v>
      </c>
      <c r="E98" s="162">
        <v>26567</v>
      </c>
      <c r="F98" s="166" t="str">
        <f t="shared" si="4"/>
        <v>Date check - OK</v>
      </c>
      <c r="G98" s="68"/>
      <c r="H98" s="162" t="s">
        <v>293</v>
      </c>
      <c r="I98" s="173">
        <v>20414.77563211487</v>
      </c>
      <c r="J98" s="168">
        <f>IFERROR(MIN('MP Calculations'!$E$30/I98,1),"-")</f>
        <v>0.40513348981719682</v>
      </c>
      <c r="K98" s="12"/>
      <c r="L98" s="159">
        <v>44.593434999999999</v>
      </c>
      <c r="M98" s="187" t="s">
        <v>294</v>
      </c>
      <c r="N98" s="187">
        <v>421.28581700000001</v>
      </c>
      <c r="O98" s="186">
        <f t="shared" si="5"/>
        <v>18786.581696811394</v>
      </c>
      <c r="P98" s="186">
        <f t="shared" si="6"/>
        <v>7611.0734045650752</v>
      </c>
      <c r="Q98" s="215">
        <f>IF(P98="-",0,P98/(1+'General inputs'!$H$30)^'MP Calculations'!$C$40)</f>
        <v>16906.393674147814</v>
      </c>
    </row>
    <row r="99" spans="3:17">
      <c r="C99" s="159"/>
      <c r="D99" s="165" t="s">
        <v>283</v>
      </c>
      <c r="E99" s="162">
        <v>26567</v>
      </c>
      <c r="F99" s="166" t="str">
        <f t="shared" si="4"/>
        <v>Date check - OK</v>
      </c>
      <c r="G99" s="68"/>
      <c r="H99" s="162" t="s">
        <v>293</v>
      </c>
      <c r="I99" s="173">
        <v>20414.77563211487</v>
      </c>
      <c r="J99" s="168">
        <f>IFERROR(MIN('MP Calculations'!$E$30/I99,1),"-")</f>
        <v>0.40513348981719682</v>
      </c>
      <c r="K99" s="12"/>
      <c r="L99" s="159">
        <v>25.648458000000002</v>
      </c>
      <c r="M99" s="187" t="s">
        <v>294</v>
      </c>
      <c r="N99" s="187">
        <v>421.28581700000001</v>
      </c>
      <c r="O99" s="186">
        <f t="shared" si="5"/>
        <v>10805.331583320187</v>
      </c>
      <c r="P99" s="186">
        <f t="shared" si="6"/>
        <v>4377.6016929824846</v>
      </c>
      <c r="Q99" s="215">
        <f>IF(P99="-",0,P99/(1+'General inputs'!$H$30)^'MP Calculations'!$C$40)</f>
        <v>9723.9185113872918</v>
      </c>
    </row>
    <row r="100" spans="3:17">
      <c r="C100" s="159"/>
      <c r="D100" s="165" t="s">
        <v>283</v>
      </c>
      <c r="E100" s="162">
        <v>26567</v>
      </c>
      <c r="F100" s="166" t="str">
        <f t="shared" si="4"/>
        <v>Date check - OK</v>
      </c>
      <c r="G100" s="68"/>
      <c r="H100" s="162" t="s">
        <v>293</v>
      </c>
      <c r="I100" s="173">
        <v>20414.77563211487</v>
      </c>
      <c r="J100" s="168">
        <f>IFERROR(MIN('MP Calculations'!$E$30/I100,1),"-")</f>
        <v>0.40513348981719682</v>
      </c>
      <c r="K100" s="12"/>
      <c r="L100" s="159">
        <v>81.637352000000007</v>
      </c>
      <c r="M100" s="187" t="s">
        <v>294</v>
      </c>
      <c r="N100" s="187">
        <v>421.28581700000001</v>
      </c>
      <c r="O100" s="186">
        <f t="shared" si="5"/>
        <v>34392.658535036586</v>
      </c>
      <c r="P100" s="186">
        <f t="shared" si="6"/>
        <v>13933.617776390573</v>
      </c>
      <c r="Q100" s="215">
        <f>IF(P100="-",0,P100/(1+'General inputs'!$H$30)^'MP Calculations'!$C$40)</f>
        <v>30950.591974513256</v>
      </c>
    </row>
    <row r="101" spans="3:17">
      <c r="C101" s="159"/>
      <c r="D101" s="165" t="s">
        <v>283</v>
      </c>
      <c r="E101" s="162">
        <v>26567</v>
      </c>
      <c r="F101" s="166" t="str">
        <f t="shared" si="4"/>
        <v>Date check - OK</v>
      </c>
      <c r="G101" s="68"/>
      <c r="H101" s="162" t="s">
        <v>293</v>
      </c>
      <c r="I101" s="173">
        <v>20414.77563211487</v>
      </c>
      <c r="J101" s="168">
        <f>IFERROR(MIN('MP Calculations'!$E$30/I101,1),"-")</f>
        <v>0.40513348981719682</v>
      </c>
      <c r="K101" s="12"/>
      <c r="L101" s="159">
        <v>15.609048</v>
      </c>
      <c r="M101" s="187" t="s">
        <v>294</v>
      </c>
      <c r="N101" s="187">
        <v>421.28581700000001</v>
      </c>
      <c r="O101" s="186">
        <f t="shared" si="5"/>
        <v>6575.8705392722159</v>
      </c>
      <c r="P101" s="186">
        <f t="shared" si="6"/>
        <v>2664.1053801614448</v>
      </c>
      <c r="Q101" s="215">
        <f>IF(P101="-",0,P101/(1+'General inputs'!$H$30)^'MP Calculations'!$C$40)</f>
        <v>5917.7479906329172</v>
      </c>
    </row>
    <row r="102" spans="3:17">
      <c r="C102" s="159"/>
      <c r="D102" s="165" t="s">
        <v>283</v>
      </c>
      <c r="E102" s="162">
        <v>26567</v>
      </c>
      <c r="F102" s="166" t="str">
        <f t="shared" si="4"/>
        <v>Date check - OK</v>
      </c>
      <c r="G102" s="68"/>
      <c r="H102" s="162" t="s">
        <v>293</v>
      </c>
      <c r="I102" s="173">
        <v>20414.77563211487</v>
      </c>
      <c r="J102" s="168">
        <f>IFERROR(MIN('MP Calculations'!$E$30/I102,1),"-")</f>
        <v>0.40513348981719682</v>
      </c>
      <c r="K102" s="12"/>
      <c r="L102" s="159">
        <v>9.6263749999999995</v>
      </c>
      <c r="M102" s="187" t="s">
        <v>294</v>
      </c>
      <c r="N102" s="187">
        <v>421.28581700000001</v>
      </c>
      <c r="O102" s="186">
        <f t="shared" si="5"/>
        <v>4055.4552566233747</v>
      </c>
      <c r="P102" s="186">
        <f t="shared" si="6"/>
        <v>1643.0007409133234</v>
      </c>
      <c r="Q102" s="215">
        <f>IF(P102="-",0,P102/(1+'General inputs'!$H$30)^'MP Calculations'!$C$40)</f>
        <v>3649.5794819343851</v>
      </c>
    </row>
    <row r="103" spans="3:17">
      <c r="C103" s="159"/>
      <c r="D103" s="165" t="s">
        <v>283</v>
      </c>
      <c r="E103" s="162">
        <v>26567</v>
      </c>
      <c r="F103" s="166" t="str">
        <f t="shared" si="4"/>
        <v>Date check - OK</v>
      </c>
      <c r="G103" s="68"/>
      <c r="H103" s="162" t="s">
        <v>293</v>
      </c>
      <c r="I103" s="173">
        <v>20414.77563211487</v>
      </c>
      <c r="J103" s="168">
        <f>IFERROR(MIN('MP Calculations'!$E$30/I103,1),"-")</f>
        <v>0.40513348981719682</v>
      </c>
      <c r="K103" s="12"/>
      <c r="L103" s="159">
        <v>84.882261999999997</v>
      </c>
      <c r="M103" s="187" t="s">
        <v>294</v>
      </c>
      <c r="N103" s="187">
        <v>421.28581700000001</v>
      </c>
      <c r="O103" s="186">
        <f t="shared" si="5"/>
        <v>35759.693095478055</v>
      </c>
      <c r="P103" s="186">
        <f t="shared" si="6"/>
        <v>14487.449258562941</v>
      </c>
      <c r="Q103" s="215">
        <f>IF(P103="-",0,P103/(1+'General inputs'!$H$30)^'MP Calculations'!$C$40)</f>
        <v>32180.811756801362</v>
      </c>
    </row>
    <row r="104" spans="3:17">
      <c r="C104" s="159"/>
      <c r="D104" s="165" t="s">
        <v>283</v>
      </c>
      <c r="E104" s="162">
        <v>26567</v>
      </c>
      <c r="F104" s="166" t="str">
        <f t="shared" si="4"/>
        <v>Date check - OK</v>
      </c>
      <c r="G104" s="68"/>
      <c r="H104" s="162" t="s">
        <v>293</v>
      </c>
      <c r="I104" s="173">
        <v>20414.77563211487</v>
      </c>
      <c r="J104" s="168">
        <f>IFERROR(MIN('MP Calculations'!$E$30/I104,1),"-")</f>
        <v>0.40513348981719682</v>
      </c>
      <c r="K104" s="12"/>
      <c r="L104" s="159">
        <v>43.754227</v>
      </c>
      <c r="M104" s="187" t="s">
        <v>294</v>
      </c>
      <c r="N104" s="187">
        <v>421.28581700000001</v>
      </c>
      <c r="O104" s="186">
        <f t="shared" si="5"/>
        <v>18433.03526889846</v>
      </c>
      <c r="P104" s="186">
        <f t="shared" si="6"/>
        <v>7467.8399064123041</v>
      </c>
      <c r="Q104" s="215">
        <f>IF(P104="-",0,P104/(1+'General inputs'!$H$30)^'MP Calculations'!$C$40)</f>
        <v>16588.230679471711</v>
      </c>
    </row>
    <row r="105" spans="3:17">
      <c r="C105" s="159"/>
      <c r="D105" s="165" t="s">
        <v>281</v>
      </c>
      <c r="E105" s="162">
        <v>27030</v>
      </c>
      <c r="F105" s="166" t="str">
        <f t="shared" si="4"/>
        <v>Date check - OK</v>
      </c>
      <c r="G105" s="68"/>
      <c r="H105" s="162" t="s">
        <v>293</v>
      </c>
      <c r="I105" s="173">
        <v>20414.77563211487</v>
      </c>
      <c r="J105" s="168">
        <f>IFERROR(MIN('MP Calculations'!$E$30/I105,1),"-")</f>
        <v>0.40513348981719682</v>
      </c>
      <c r="K105" s="12"/>
      <c r="L105" s="159">
        <v>52.989730999999999</v>
      </c>
      <c r="M105" s="187" t="s">
        <v>294</v>
      </c>
      <c r="N105" s="187">
        <v>192.78728599999999</v>
      </c>
      <c r="O105" s="186">
        <f t="shared" si="5"/>
        <v>10215.746425360065</v>
      </c>
      <c r="P105" s="186">
        <f t="shared" si="6"/>
        <v>4138.7410003936766</v>
      </c>
      <c r="Q105" s="215">
        <f>IF(P105="-",0,P105/(1+'General inputs'!$H$30)^'MP Calculations'!$C$40)</f>
        <v>9193.3398810769013</v>
      </c>
    </row>
    <row r="106" spans="3:17">
      <c r="C106" s="159"/>
      <c r="D106" s="165" t="s">
        <v>281</v>
      </c>
      <c r="E106" s="162">
        <v>27030</v>
      </c>
      <c r="F106" s="166" t="str">
        <f t="shared" si="4"/>
        <v>Date check - OK</v>
      </c>
      <c r="G106" s="68"/>
      <c r="H106" s="162" t="s">
        <v>293</v>
      </c>
      <c r="I106" s="173">
        <v>20414.77563211487</v>
      </c>
      <c r="J106" s="168">
        <f>IFERROR(MIN('MP Calculations'!$E$30/I106,1),"-")</f>
        <v>0.40513348981719682</v>
      </c>
      <c r="K106" s="12"/>
      <c r="L106" s="159">
        <v>47.029242000000004</v>
      </c>
      <c r="M106" s="187" t="s">
        <v>294</v>
      </c>
      <c r="N106" s="187">
        <v>192.78728599999999</v>
      </c>
      <c r="O106" s="186">
        <f t="shared" si="5"/>
        <v>9066.6399278172121</v>
      </c>
      <c r="P106" s="186">
        <f t="shared" si="6"/>
        <v>3673.1994748725247</v>
      </c>
      <c r="Q106" s="215">
        <f>IF(P106="-",0,P106/(1+'General inputs'!$H$30)^'MP Calculations'!$C$40)</f>
        <v>8159.2376088004075</v>
      </c>
    </row>
    <row r="107" spans="3:17">
      <c r="C107" s="159"/>
      <c r="D107" s="165" t="s">
        <v>281</v>
      </c>
      <c r="E107" s="162">
        <v>27030</v>
      </c>
      <c r="F107" s="166" t="str">
        <f t="shared" si="4"/>
        <v>Date check - OK</v>
      </c>
      <c r="G107" s="68"/>
      <c r="H107" s="162" t="s">
        <v>293</v>
      </c>
      <c r="I107" s="173">
        <v>20414.77563211487</v>
      </c>
      <c r="J107" s="168">
        <f>IFERROR(MIN('MP Calculations'!$E$30/I107,1),"-")</f>
        <v>0.40513348981719682</v>
      </c>
      <c r="K107" s="12"/>
      <c r="L107" s="159">
        <v>0.59885600000000005</v>
      </c>
      <c r="M107" s="187" t="s">
        <v>294</v>
      </c>
      <c r="N107" s="187">
        <v>192.78728599999999</v>
      </c>
      <c r="O107" s="186">
        <f t="shared" si="5"/>
        <v>115.451822944816</v>
      </c>
      <c r="P107" s="186">
        <f t="shared" si="6"/>
        <v>46.773399935390422</v>
      </c>
      <c r="Q107" s="215">
        <f>IF(P107="-",0,P107/(1+'General inputs'!$H$30)^'MP Calculations'!$C$40)</f>
        <v>103.89723902961858</v>
      </c>
    </row>
    <row r="108" spans="3:17">
      <c r="C108" s="159"/>
      <c r="D108" s="165" t="s">
        <v>281</v>
      </c>
      <c r="E108" s="162">
        <v>27030</v>
      </c>
      <c r="F108" s="166" t="str">
        <f t="shared" si="4"/>
        <v>Date check - OK</v>
      </c>
      <c r="G108" s="68"/>
      <c r="H108" s="162" t="s">
        <v>293</v>
      </c>
      <c r="I108" s="173">
        <v>20414.77563211487</v>
      </c>
      <c r="J108" s="168">
        <f>IFERROR(MIN('MP Calculations'!$E$30/I108,1),"-")</f>
        <v>0.40513348981719682</v>
      </c>
      <c r="K108" s="12"/>
      <c r="L108" s="159">
        <v>58.088991</v>
      </c>
      <c r="M108" s="187" t="s">
        <v>294</v>
      </c>
      <c r="N108" s="187">
        <v>192.78728599999999</v>
      </c>
      <c r="O108" s="186">
        <f t="shared" si="5"/>
        <v>11198.818921368425</v>
      </c>
      <c r="P108" s="186">
        <f t="shared" si="6"/>
        <v>4537.0165914448462</v>
      </c>
      <c r="Q108" s="215">
        <f>IF(P108="-",0,P108/(1+'General inputs'!$H$30)^'MP Calculations'!$C$40)</f>
        <v>10078.02507266582</v>
      </c>
    </row>
    <row r="109" spans="3:17">
      <c r="C109" s="159"/>
      <c r="D109" s="165" t="s">
        <v>281</v>
      </c>
      <c r="E109" s="162">
        <v>27030</v>
      </c>
      <c r="F109" s="166" t="str">
        <f t="shared" si="4"/>
        <v>Date check - OK</v>
      </c>
      <c r="G109" s="68"/>
      <c r="H109" s="162" t="s">
        <v>293</v>
      </c>
      <c r="I109" s="173">
        <v>20414.77563211487</v>
      </c>
      <c r="J109" s="168">
        <f>IFERROR(MIN('MP Calculations'!$E$30/I109,1),"-")</f>
        <v>0.40513348981719682</v>
      </c>
      <c r="K109" s="12"/>
      <c r="L109" s="159">
        <v>52.089396999999998</v>
      </c>
      <c r="M109" s="187" t="s">
        <v>294</v>
      </c>
      <c r="N109" s="187">
        <v>192.78728599999999</v>
      </c>
      <c r="O109" s="186">
        <f t="shared" si="5"/>
        <v>10042.173477006541</v>
      </c>
      <c r="P109" s="186">
        <f t="shared" si="6"/>
        <v>4068.4207860893534</v>
      </c>
      <c r="Q109" s="215">
        <f>IF(P109="-",0,P109/(1+'General inputs'!$H$30)^'MP Calculations'!$C$40)</f>
        <v>9037.1383621733712</v>
      </c>
    </row>
    <row r="110" spans="3:17">
      <c r="C110" s="159"/>
      <c r="D110" s="165" t="s">
        <v>281</v>
      </c>
      <c r="E110" s="162">
        <v>27030</v>
      </c>
      <c r="F110" s="166" t="str">
        <f t="shared" si="4"/>
        <v>Date check - OK</v>
      </c>
      <c r="G110" s="68"/>
      <c r="H110" s="162" t="s">
        <v>293</v>
      </c>
      <c r="I110" s="173">
        <v>20414.77563211487</v>
      </c>
      <c r="J110" s="168">
        <f>IFERROR(MIN('MP Calculations'!$E$30/I110,1),"-")</f>
        <v>0.40513348981719682</v>
      </c>
      <c r="K110" s="12"/>
      <c r="L110" s="159">
        <v>65.286294999999996</v>
      </c>
      <c r="M110" s="187" t="s">
        <v>294</v>
      </c>
      <c r="N110" s="187">
        <v>192.78728599999999</v>
      </c>
      <c r="O110" s="186">
        <f t="shared" si="5"/>
        <v>12586.367626045369</v>
      </c>
      <c r="P110" s="186">
        <f t="shared" si="6"/>
        <v>5099.1590404619474</v>
      </c>
      <c r="Q110" s="215">
        <f>IF(P110="-",0,P110/(1+'General inputs'!$H$30)^'MP Calculations'!$C$40)</f>
        <v>11326.705914231788</v>
      </c>
    </row>
    <row r="111" spans="3:17">
      <c r="C111" s="159"/>
      <c r="D111" s="165" t="s">
        <v>281</v>
      </c>
      <c r="E111" s="162">
        <v>27030</v>
      </c>
      <c r="F111" s="166" t="str">
        <f t="shared" si="4"/>
        <v>Date check - OK</v>
      </c>
      <c r="G111" s="68"/>
      <c r="H111" s="162" t="s">
        <v>293</v>
      </c>
      <c r="I111" s="173">
        <v>20414.77563211487</v>
      </c>
      <c r="J111" s="168">
        <f>IFERROR(MIN('MP Calculations'!$E$30/I111,1),"-")</f>
        <v>0.40513348981719682</v>
      </c>
      <c r="K111" s="12"/>
      <c r="L111" s="159">
        <v>8.8262180000000008</v>
      </c>
      <c r="M111" s="187" t="s">
        <v>294</v>
      </c>
      <c r="N111" s="187">
        <v>192.78728599999999</v>
      </c>
      <c r="O111" s="186">
        <f t="shared" si="5"/>
        <v>1701.5826138643481</v>
      </c>
      <c r="P111" s="186">
        <f t="shared" si="6"/>
        <v>689.36810256713102</v>
      </c>
      <c r="Q111" s="215">
        <f>IF(P111="-",0,P111/(1+'General inputs'!$H$30)^'MP Calculations'!$C$40)</f>
        <v>1531.2857870231273</v>
      </c>
    </row>
    <row r="112" spans="3:17">
      <c r="C112" s="159"/>
      <c r="D112" s="165" t="s">
        <v>281</v>
      </c>
      <c r="E112" s="162">
        <v>27193</v>
      </c>
      <c r="F112" s="166" t="str">
        <f t="shared" si="4"/>
        <v>Date check - OK</v>
      </c>
      <c r="G112" s="68"/>
      <c r="H112" s="162" t="s">
        <v>293</v>
      </c>
      <c r="I112" s="173">
        <v>20414.77563211487</v>
      </c>
      <c r="J112" s="168">
        <f>IFERROR(MIN('MP Calculations'!$E$30/I112,1),"-")</f>
        <v>0.40513348981719682</v>
      </c>
      <c r="K112" s="12"/>
      <c r="L112" s="159">
        <v>0.39927099999999999</v>
      </c>
      <c r="M112" s="187" t="s">
        <v>294</v>
      </c>
      <c r="N112" s="187">
        <v>192.78728599999999</v>
      </c>
      <c r="O112" s="186">
        <f t="shared" si="5"/>
        <v>76.97437246850599</v>
      </c>
      <c r="P112" s="186">
        <f t="shared" si="6"/>
        <v>31.184896144654587</v>
      </c>
      <c r="Q112" s="215">
        <f>IF(P112="-",0,P112/(1+'General inputs'!$H$30)^'MP Calculations'!$C$40)</f>
        <v>69.270666945968358</v>
      </c>
    </row>
    <row r="113" spans="3:17">
      <c r="C113" s="159"/>
      <c r="D113" s="165" t="s">
        <v>281</v>
      </c>
      <c r="E113" s="162">
        <v>27193</v>
      </c>
      <c r="F113" s="166" t="str">
        <f t="shared" si="4"/>
        <v>Date check - OK</v>
      </c>
      <c r="G113" s="68"/>
      <c r="H113" s="162" t="s">
        <v>293</v>
      </c>
      <c r="I113" s="173">
        <v>20414.77563211487</v>
      </c>
      <c r="J113" s="168">
        <f>IFERROR(MIN('MP Calculations'!$E$30/I113,1),"-")</f>
        <v>0.40513348981719682</v>
      </c>
      <c r="K113" s="12"/>
      <c r="L113" s="159">
        <v>0.500112</v>
      </c>
      <c r="M113" s="187" t="s">
        <v>294</v>
      </c>
      <c r="N113" s="187">
        <v>192.78728599999999</v>
      </c>
      <c r="O113" s="186">
        <f t="shared" si="5"/>
        <v>96.415235176031999</v>
      </c>
      <c r="P113" s="186">
        <f t="shared" si="6"/>
        <v>39.061040698411595</v>
      </c>
      <c r="Q113" s="215">
        <f>IF(P113="-",0,P113/(1+'General inputs'!$H$30)^'MP Calculations'!$C$40)</f>
        <v>86.765860249510069</v>
      </c>
    </row>
    <row r="114" spans="3:17">
      <c r="C114" s="159"/>
      <c r="D114" s="165" t="s">
        <v>281</v>
      </c>
      <c r="E114" s="162">
        <v>27193</v>
      </c>
      <c r="F114" s="166" t="str">
        <f t="shared" si="4"/>
        <v>Date check - OK</v>
      </c>
      <c r="G114" s="68"/>
      <c r="H114" s="162" t="s">
        <v>293</v>
      </c>
      <c r="I114" s="173">
        <v>20414.77563211487</v>
      </c>
      <c r="J114" s="168">
        <f>IFERROR(MIN('MP Calculations'!$E$30/I114,1),"-")</f>
        <v>0.40513348981719682</v>
      </c>
      <c r="K114" s="12"/>
      <c r="L114" s="159">
        <v>3.798683</v>
      </c>
      <c r="M114" s="187" t="s">
        <v>294</v>
      </c>
      <c r="N114" s="187">
        <v>192.78728599999999</v>
      </c>
      <c r="O114" s="186">
        <f t="shared" si="5"/>
        <v>732.33778594433795</v>
      </c>
      <c r="P114" s="186">
        <f t="shared" si="6"/>
        <v>296.6945629446289</v>
      </c>
      <c r="Q114" s="215">
        <f>IF(P114="-",0,P114/(1+'General inputs'!$H$30)^'MP Calculations'!$C$40)</f>
        <v>659.04437068134666</v>
      </c>
    </row>
    <row r="115" spans="3:17">
      <c r="C115" s="159"/>
      <c r="D115" s="165" t="s">
        <v>281</v>
      </c>
      <c r="E115" s="162">
        <v>27193</v>
      </c>
      <c r="F115" s="166" t="str">
        <f t="shared" si="4"/>
        <v>Date check - OK</v>
      </c>
      <c r="G115" s="68"/>
      <c r="H115" s="162" t="s">
        <v>293</v>
      </c>
      <c r="I115" s="173">
        <v>20414.77563211487</v>
      </c>
      <c r="J115" s="168">
        <f>IFERROR(MIN('MP Calculations'!$E$30/I115,1),"-")</f>
        <v>0.40513348981719682</v>
      </c>
      <c r="K115" s="12"/>
      <c r="L115" s="159">
        <v>0.49998500000000001</v>
      </c>
      <c r="M115" s="187" t="s">
        <v>294</v>
      </c>
      <c r="N115" s="187">
        <v>192.78728599999999</v>
      </c>
      <c r="O115" s="186">
        <f t="shared" si="5"/>
        <v>96.390751190710006</v>
      </c>
      <c r="P115" s="186">
        <f t="shared" si="6"/>
        <v>39.051121415993464</v>
      </c>
      <c r="Q115" s="215">
        <f>IF(P115="-",0,P115/(1+'General inputs'!$H$30)^'MP Calculations'!$C$40)</f>
        <v>86.743826656531525</v>
      </c>
    </row>
    <row r="116" spans="3:17">
      <c r="C116" s="159"/>
      <c r="D116" s="165" t="s">
        <v>281</v>
      </c>
      <c r="E116" s="162">
        <v>27193</v>
      </c>
      <c r="F116" s="166" t="str">
        <f t="shared" si="4"/>
        <v>Date check - OK</v>
      </c>
      <c r="G116" s="68"/>
      <c r="H116" s="162" t="s">
        <v>293</v>
      </c>
      <c r="I116" s="173">
        <v>20414.77563211487</v>
      </c>
      <c r="J116" s="168">
        <f>IFERROR(MIN('MP Calculations'!$E$30/I116,1),"-")</f>
        <v>0.40513348981719682</v>
      </c>
      <c r="K116" s="12"/>
      <c r="L116" s="159">
        <v>0.600101</v>
      </c>
      <c r="M116" s="187" t="s">
        <v>294</v>
      </c>
      <c r="N116" s="187">
        <v>192.78728599999999</v>
      </c>
      <c r="O116" s="186">
        <f t="shared" si="5"/>
        <v>115.691843115886</v>
      </c>
      <c r="P116" s="186">
        <f t="shared" si="6"/>
        <v>46.870640144922532</v>
      </c>
      <c r="Q116" s="215">
        <f>IF(P116="-",0,P116/(1+'General inputs'!$H$30)^'MP Calculations'!$C$40)</f>
        <v>104.11323763795158</v>
      </c>
    </row>
    <row r="117" spans="3:17">
      <c r="C117" s="159"/>
      <c r="D117" s="165" t="s">
        <v>281</v>
      </c>
      <c r="E117" s="162">
        <v>27193</v>
      </c>
      <c r="F117" s="166" t="str">
        <f t="shared" si="4"/>
        <v>Date check - OK</v>
      </c>
      <c r="G117" s="68"/>
      <c r="H117" s="162" t="s">
        <v>293</v>
      </c>
      <c r="I117" s="173">
        <v>20414.77563211487</v>
      </c>
      <c r="J117" s="168">
        <f>IFERROR(MIN('MP Calculations'!$E$30/I117,1),"-")</f>
        <v>0.40513348981719682</v>
      </c>
      <c r="K117" s="12"/>
      <c r="L117" s="159">
        <v>9.8394770000000005</v>
      </c>
      <c r="M117" s="187" t="s">
        <v>294</v>
      </c>
      <c r="N117" s="187">
        <v>192.78728599999999</v>
      </c>
      <c r="O117" s="186">
        <f t="shared" si="5"/>
        <v>1896.9260664894221</v>
      </c>
      <c r="P117" s="186">
        <f t="shared" si="6"/>
        <v>768.50827724206749</v>
      </c>
      <c r="Q117" s="215">
        <f>IF(P117="-",0,P117/(1+'General inputs'!$H$30)^'MP Calculations'!$C$40)</f>
        <v>1707.0789869274654</v>
      </c>
    </row>
    <row r="118" spans="3:17">
      <c r="C118" s="159"/>
      <c r="D118" s="165" t="s">
        <v>281</v>
      </c>
      <c r="E118" s="162">
        <v>27193</v>
      </c>
      <c r="F118" s="166" t="str">
        <f t="shared" si="4"/>
        <v>Date check - OK</v>
      </c>
      <c r="G118" s="68"/>
      <c r="H118" s="162" t="s">
        <v>293</v>
      </c>
      <c r="I118" s="173">
        <v>20414.77563211487</v>
      </c>
      <c r="J118" s="168">
        <f>IFERROR(MIN('MP Calculations'!$E$30/I118,1),"-")</f>
        <v>0.40513348981719682</v>
      </c>
      <c r="K118" s="12"/>
      <c r="L118" s="159">
        <v>0.80039800000000005</v>
      </c>
      <c r="M118" s="187" t="s">
        <v>294</v>
      </c>
      <c r="N118" s="187">
        <v>192.78728599999999</v>
      </c>
      <c r="O118" s="186">
        <f t="shared" si="5"/>
        <v>154.30655813982801</v>
      </c>
      <c r="P118" s="186">
        <f t="shared" si="6"/>
        <v>62.514754400868703</v>
      </c>
      <c r="Q118" s="215">
        <f>IF(P118="-",0,P118/(1+'General inputs'!$H$30)^'MP Calculations'!$C$40)</f>
        <v>138.86333663656814</v>
      </c>
    </row>
    <row r="119" spans="3:17">
      <c r="C119" s="159"/>
      <c r="D119" s="165" t="s">
        <v>281</v>
      </c>
      <c r="E119" s="162">
        <v>27193</v>
      </c>
      <c r="F119" s="166" t="str">
        <f t="shared" si="4"/>
        <v>Date check - OK</v>
      </c>
      <c r="G119" s="68"/>
      <c r="H119" s="162" t="s">
        <v>293</v>
      </c>
      <c r="I119" s="173">
        <v>20414.77563211487</v>
      </c>
      <c r="J119" s="168">
        <f>IFERROR(MIN('MP Calculations'!$E$30/I119,1),"-")</f>
        <v>0.40513348981719682</v>
      </c>
      <c r="K119" s="12"/>
      <c r="L119" s="159">
        <v>0.80058499999999999</v>
      </c>
      <c r="M119" s="187" t="s">
        <v>294</v>
      </c>
      <c r="N119" s="187">
        <v>192.78728599999999</v>
      </c>
      <c r="O119" s="186">
        <f t="shared" si="5"/>
        <v>154.34260936230999</v>
      </c>
      <c r="P119" s="186">
        <f t="shared" si="6"/>
        <v>62.529359958444999</v>
      </c>
      <c r="Q119" s="215">
        <f>IF(P119="-",0,P119/(1+'General inputs'!$H$30)^'MP Calculations'!$C$40)</f>
        <v>138.8957798010326</v>
      </c>
    </row>
    <row r="120" spans="3:17">
      <c r="C120" s="159"/>
      <c r="D120" s="165" t="s">
        <v>281</v>
      </c>
      <c r="E120" s="162">
        <v>27193</v>
      </c>
      <c r="F120" s="166" t="str">
        <f t="shared" si="4"/>
        <v>Date check - OK</v>
      </c>
      <c r="G120" s="68"/>
      <c r="H120" s="162" t="s">
        <v>293</v>
      </c>
      <c r="I120" s="173">
        <v>20414.77563211487</v>
      </c>
      <c r="J120" s="168">
        <f>IFERROR(MIN('MP Calculations'!$E$30/I120,1),"-")</f>
        <v>0.40513348981719682</v>
      </c>
      <c r="K120" s="12"/>
      <c r="L120" s="159">
        <v>2.176552</v>
      </c>
      <c r="M120" s="187" t="s">
        <v>294</v>
      </c>
      <c r="N120" s="187">
        <v>192.78728599999999</v>
      </c>
      <c r="O120" s="186">
        <f t="shared" si="5"/>
        <v>419.61155291787202</v>
      </c>
      <c r="P120" s="186">
        <f t="shared" si="6"/>
        <v>169.99869280123085</v>
      </c>
      <c r="Q120" s="215">
        <f>IF(P120="-",0,P120/(1+'General inputs'!$H$30)^'MP Calculations'!$C$40)</f>
        <v>377.61622728067243</v>
      </c>
    </row>
    <row r="121" spans="3:17">
      <c r="C121" s="159"/>
      <c r="D121" s="165" t="s">
        <v>281</v>
      </c>
      <c r="E121" s="162">
        <v>27193</v>
      </c>
      <c r="F121" s="166" t="str">
        <f t="shared" si="4"/>
        <v>Date check - OK</v>
      </c>
      <c r="G121" s="68"/>
      <c r="H121" s="162" t="s">
        <v>293</v>
      </c>
      <c r="I121" s="173">
        <v>20414.77563211487</v>
      </c>
      <c r="J121" s="168">
        <f>IFERROR(MIN('MP Calculations'!$E$30/I121,1),"-")</f>
        <v>0.40513348981719682</v>
      </c>
      <c r="K121" s="12"/>
      <c r="L121" s="159">
        <v>0.99897800000000003</v>
      </c>
      <c r="M121" s="187" t="s">
        <v>294</v>
      </c>
      <c r="N121" s="187">
        <v>192.78728599999999</v>
      </c>
      <c r="O121" s="186">
        <f t="shared" si="5"/>
        <v>192.59025739370801</v>
      </c>
      <c r="P121" s="186">
        <f t="shared" si="6"/>
        <v>78.024763082705121</v>
      </c>
      <c r="Q121" s="215">
        <f>IF(P121="-",0,P121/(1+'General inputs'!$H$30)^'MP Calculations'!$C$40)</f>
        <v>173.31554839782905</v>
      </c>
    </row>
    <row r="122" spans="3:17">
      <c r="C122" s="159"/>
      <c r="D122" s="165" t="s">
        <v>281</v>
      </c>
      <c r="E122" s="162">
        <v>27193</v>
      </c>
      <c r="F122" s="166" t="str">
        <f t="shared" si="4"/>
        <v>Date check - OK</v>
      </c>
      <c r="G122" s="68"/>
      <c r="H122" s="162" t="s">
        <v>293</v>
      </c>
      <c r="I122" s="173">
        <v>20414.77563211487</v>
      </c>
      <c r="J122" s="168">
        <f>IFERROR(MIN('MP Calculations'!$E$30/I122,1),"-")</f>
        <v>0.40513348981719682</v>
      </c>
      <c r="K122" s="12"/>
      <c r="L122" s="159">
        <v>14.419585</v>
      </c>
      <c r="M122" s="187" t="s">
        <v>294</v>
      </c>
      <c r="N122" s="187">
        <v>192.78728599999999</v>
      </c>
      <c r="O122" s="186">
        <f t="shared" si="5"/>
        <v>2779.9126573963099</v>
      </c>
      <c r="P122" s="186">
        <f t="shared" si="6"/>
        <v>1126.2357162779645</v>
      </c>
      <c r="Q122" s="215">
        <f>IF(P122="-",0,P122/(1+'General inputs'!$H$30)^'MP Calculations'!$C$40)</f>
        <v>2501.6950142486717</v>
      </c>
    </row>
    <row r="123" spans="3:17">
      <c r="C123" s="159"/>
      <c r="D123" s="165" t="s">
        <v>281</v>
      </c>
      <c r="E123" s="162">
        <v>27278</v>
      </c>
      <c r="F123" s="166" t="str">
        <f t="shared" si="4"/>
        <v>Date check - OK</v>
      </c>
      <c r="G123" s="68"/>
      <c r="H123" s="162" t="s">
        <v>293</v>
      </c>
      <c r="I123" s="173">
        <v>20414.77563211487</v>
      </c>
      <c r="J123" s="168">
        <f>IFERROR(MIN('MP Calculations'!$E$30/I123,1),"-")</f>
        <v>0.40513348981719682</v>
      </c>
      <c r="K123" s="12"/>
      <c r="L123" s="159">
        <v>3.5373350000000001</v>
      </c>
      <c r="M123" s="187" t="s">
        <v>294</v>
      </c>
      <c r="N123" s="187">
        <v>192.78728599999999</v>
      </c>
      <c r="O123" s="186">
        <f t="shared" si="5"/>
        <v>681.95321432281003</v>
      </c>
      <c r="P123" s="186">
        <f t="shared" si="6"/>
        <v>276.2820856106548</v>
      </c>
      <c r="Q123" s="215">
        <f>IF(P123="-",0,P123/(1+'General inputs'!$H$30)^'MP Calculations'!$C$40)</f>
        <v>613.70235920293999</v>
      </c>
    </row>
    <row r="124" spans="3:17">
      <c r="C124" s="159"/>
      <c r="D124" s="165" t="s">
        <v>281</v>
      </c>
      <c r="E124" s="162">
        <v>27278</v>
      </c>
      <c r="F124" s="166" t="str">
        <f t="shared" si="4"/>
        <v>Date check - OK</v>
      </c>
      <c r="G124" s="68"/>
      <c r="H124" s="162" t="s">
        <v>293</v>
      </c>
      <c r="I124" s="173">
        <v>20414.77563211487</v>
      </c>
      <c r="J124" s="168">
        <f>IFERROR(MIN('MP Calculations'!$E$30/I124,1),"-")</f>
        <v>0.40513348981719682</v>
      </c>
      <c r="K124" s="12"/>
      <c r="L124" s="159">
        <v>94.091421999999994</v>
      </c>
      <c r="M124" s="187" t="s">
        <v>294</v>
      </c>
      <c r="N124" s="187">
        <v>192.78728599999999</v>
      </c>
      <c r="O124" s="186">
        <f t="shared" si="5"/>
        <v>18139.629883260692</v>
      </c>
      <c r="P124" s="186">
        <f t="shared" si="6"/>
        <v>7348.9715585977146</v>
      </c>
      <c r="Q124" s="215">
        <f>IF(P124="-",0,P124/(1+'General inputs'!$H$30)^'MP Calculations'!$C$40)</f>
        <v>16324.189725360873</v>
      </c>
    </row>
    <row r="125" spans="3:17">
      <c r="C125" s="159"/>
      <c r="D125" s="165" t="s">
        <v>281</v>
      </c>
      <c r="E125" s="162">
        <v>27278</v>
      </c>
      <c r="F125" s="166" t="str">
        <f t="shared" si="4"/>
        <v>Date check - OK</v>
      </c>
      <c r="G125" s="68"/>
      <c r="H125" s="162" t="s">
        <v>293</v>
      </c>
      <c r="I125" s="173">
        <v>20414.77563211487</v>
      </c>
      <c r="J125" s="168">
        <f>IFERROR(MIN('MP Calculations'!$E$30/I125,1),"-")</f>
        <v>0.40513348981719682</v>
      </c>
      <c r="K125" s="12"/>
      <c r="L125" s="159">
        <v>3.0846309999999999</v>
      </c>
      <c r="M125" s="187" t="s">
        <v>294</v>
      </c>
      <c r="N125" s="187">
        <v>192.78728599999999</v>
      </c>
      <c r="O125" s="186">
        <f t="shared" si="5"/>
        <v>594.67763880146595</v>
      </c>
      <c r="P125" s="186">
        <f t="shared" si="6"/>
        <v>240.92382712388834</v>
      </c>
      <c r="Q125" s="215">
        <f>IF(P125="-",0,P125/(1+'General inputs'!$H$30)^'MP Calculations'!$C$40)</f>
        <v>535.16144837017805</v>
      </c>
    </row>
    <row r="126" spans="3:17">
      <c r="C126" s="159"/>
      <c r="D126" s="165" t="s">
        <v>281</v>
      </c>
      <c r="E126" s="162">
        <v>27278</v>
      </c>
      <c r="F126" s="166" t="str">
        <f t="shared" si="4"/>
        <v>Date check - OK</v>
      </c>
      <c r="G126" s="68"/>
      <c r="H126" s="162" t="s">
        <v>293</v>
      </c>
      <c r="I126" s="173">
        <v>20414.77563211487</v>
      </c>
      <c r="J126" s="168">
        <f>IFERROR(MIN('MP Calculations'!$E$30/I126,1),"-")</f>
        <v>0.40513348981719682</v>
      </c>
      <c r="K126" s="12"/>
      <c r="L126" s="159">
        <v>0.80907399999999996</v>
      </c>
      <c r="M126" s="187" t="s">
        <v>294</v>
      </c>
      <c r="N126" s="187">
        <v>192.78728599999999</v>
      </c>
      <c r="O126" s="186">
        <f t="shared" si="5"/>
        <v>155.97918063316399</v>
      </c>
      <c r="P126" s="186">
        <f t="shared" si="6"/>
        <v>63.192389788740648</v>
      </c>
      <c r="Q126" s="215">
        <f>IF(P126="-",0,P126/(1+'General inputs'!$H$30)^'MP Calculations'!$C$40)</f>
        <v>140.36856067343336</v>
      </c>
    </row>
    <row r="127" spans="3:17">
      <c r="C127" s="159"/>
      <c r="D127" s="165" t="s">
        <v>281</v>
      </c>
      <c r="E127" s="162">
        <v>27278</v>
      </c>
      <c r="F127" s="166" t="str">
        <f t="shared" si="4"/>
        <v>Date check - OK</v>
      </c>
      <c r="G127" s="68"/>
      <c r="H127" s="162" t="s">
        <v>293</v>
      </c>
      <c r="I127" s="173">
        <v>20414.77563211487</v>
      </c>
      <c r="J127" s="168">
        <f>IFERROR(MIN('MP Calculations'!$E$30/I127,1),"-")</f>
        <v>0.40513348981719682</v>
      </c>
      <c r="K127" s="12"/>
      <c r="L127" s="159">
        <v>129.20875799999999</v>
      </c>
      <c r="M127" s="187" t="s">
        <v>294</v>
      </c>
      <c r="N127" s="187">
        <v>192.78728599999999</v>
      </c>
      <c r="O127" s="186">
        <f t="shared" si="5"/>
        <v>24909.805782250784</v>
      </c>
      <c r="P127" s="186">
        <f t="shared" si="6"/>
        <v>10091.796547231848</v>
      </c>
      <c r="Q127" s="215">
        <f>IF(P127="-",0,P127/(1+'General inputs'!$H$30)^'MP Calculations'!$C$40)</f>
        <v>22416.79671681696</v>
      </c>
    </row>
    <row r="128" spans="3:17">
      <c r="C128" s="159"/>
      <c r="D128" s="165" t="s">
        <v>281</v>
      </c>
      <c r="E128" s="162">
        <v>27278</v>
      </c>
      <c r="F128" s="166" t="str">
        <f t="shared" si="4"/>
        <v>Date check - OK</v>
      </c>
      <c r="G128" s="68"/>
      <c r="H128" s="162" t="s">
        <v>293</v>
      </c>
      <c r="I128" s="173">
        <v>20414.77563211487</v>
      </c>
      <c r="J128" s="168">
        <f>IFERROR(MIN('MP Calculations'!$E$30/I128,1),"-")</f>
        <v>0.40513348981719682</v>
      </c>
      <c r="K128" s="12"/>
      <c r="L128" s="159">
        <v>0.90885000000000005</v>
      </c>
      <c r="M128" s="187" t="s">
        <v>294</v>
      </c>
      <c r="N128" s="187">
        <v>192.78728599999999</v>
      </c>
      <c r="O128" s="186">
        <f t="shared" si="5"/>
        <v>175.21472488110001</v>
      </c>
      <c r="P128" s="186">
        <f t="shared" si="6"/>
        <v>70.985352958440075</v>
      </c>
      <c r="Q128" s="215">
        <f>IF(P128="-",0,P128/(1+'General inputs'!$H$30)^'MP Calculations'!$C$40)</f>
        <v>157.67898408309986</v>
      </c>
    </row>
    <row r="129" spans="3:17">
      <c r="C129" s="159"/>
      <c r="D129" s="165" t="s">
        <v>281</v>
      </c>
      <c r="E129" s="162">
        <v>27278</v>
      </c>
      <c r="F129" s="166" t="str">
        <f t="shared" si="4"/>
        <v>Date check - OK</v>
      </c>
      <c r="G129" s="68"/>
      <c r="H129" s="162" t="s">
        <v>293</v>
      </c>
      <c r="I129" s="173">
        <v>20414.77563211487</v>
      </c>
      <c r="J129" s="168">
        <f>IFERROR(MIN('MP Calculations'!$E$30/I129,1),"-")</f>
        <v>0.40513348981719682</v>
      </c>
      <c r="K129" s="12"/>
      <c r="L129" s="159">
        <v>0.67641700000000005</v>
      </c>
      <c r="M129" s="187" t="s">
        <v>294</v>
      </c>
      <c r="N129" s="187">
        <v>192.78728599999999</v>
      </c>
      <c r="O129" s="186">
        <f t="shared" si="5"/>
        <v>130.40459763426202</v>
      </c>
      <c r="P129" s="186">
        <f t="shared" si="6"/>
        <v>52.83126972777594</v>
      </c>
      <c r="Q129" s="215">
        <f>IF(P129="-",0,P129/(1+'General inputs'!$H$30)^'MP Calculations'!$C$40)</f>
        <v>117.35351859662008</v>
      </c>
    </row>
    <row r="130" spans="3:17">
      <c r="C130" s="159"/>
      <c r="D130" s="165" t="s">
        <v>281</v>
      </c>
      <c r="E130" s="162">
        <v>27278</v>
      </c>
      <c r="F130" s="166" t="str">
        <f t="shared" si="4"/>
        <v>Date check - OK</v>
      </c>
      <c r="G130" s="68"/>
      <c r="H130" s="162" t="s">
        <v>293</v>
      </c>
      <c r="I130" s="173">
        <v>20414.77563211487</v>
      </c>
      <c r="J130" s="168">
        <f>IFERROR(MIN('MP Calculations'!$E$30/I130,1),"-")</f>
        <v>0.40513348981719682</v>
      </c>
      <c r="K130" s="12"/>
      <c r="L130" s="159">
        <v>0.98987400000000003</v>
      </c>
      <c r="M130" s="187" t="s">
        <v>294</v>
      </c>
      <c r="N130" s="187">
        <v>192.78728599999999</v>
      </c>
      <c r="O130" s="186">
        <f t="shared" si="5"/>
        <v>190.83512194196399</v>
      </c>
      <c r="P130" s="186">
        <f t="shared" si="6"/>
        <v>77.313698932038179</v>
      </c>
      <c r="Q130" s="215">
        <f>IF(P130="-",0,P130/(1+'General inputs'!$H$30)^'MP Calculations'!$C$40)</f>
        <v>171.73606941769748</v>
      </c>
    </row>
    <row r="131" spans="3:17">
      <c r="C131" s="159"/>
      <c r="D131" s="165" t="s">
        <v>281</v>
      </c>
      <c r="E131" s="162">
        <v>27278</v>
      </c>
      <c r="F131" s="166" t="str">
        <f t="shared" si="4"/>
        <v>Date check - OK</v>
      </c>
      <c r="G131" s="68"/>
      <c r="H131" s="162" t="s">
        <v>293</v>
      </c>
      <c r="I131" s="173">
        <v>20414.77563211487</v>
      </c>
      <c r="J131" s="168">
        <f>IFERROR(MIN('MP Calculations'!$E$30/I131,1),"-")</f>
        <v>0.40513348981719682</v>
      </c>
      <c r="K131" s="12"/>
      <c r="L131" s="159">
        <v>73.593568000000005</v>
      </c>
      <c r="M131" s="187" t="s">
        <v>294</v>
      </c>
      <c r="N131" s="187">
        <v>192.78728599999999</v>
      </c>
      <c r="O131" s="186">
        <f t="shared" si="5"/>
        <v>14187.904241776449</v>
      </c>
      <c r="P131" s="186">
        <f t="shared" si="6"/>
        <v>5747.9951586631023</v>
      </c>
      <c r="Q131" s="215">
        <f>IF(P131="-",0,P131/(1+'General inputs'!$H$30)^'MP Calculations'!$C$40)</f>
        <v>12767.958450008831</v>
      </c>
    </row>
    <row r="132" spans="3:17">
      <c r="C132" s="159"/>
      <c r="D132" s="165" t="s">
        <v>281</v>
      </c>
      <c r="E132" s="162">
        <v>27278</v>
      </c>
      <c r="F132" s="166" t="str">
        <f t="shared" si="4"/>
        <v>Date check - OK</v>
      </c>
      <c r="G132" s="68"/>
      <c r="H132" s="162" t="s">
        <v>293</v>
      </c>
      <c r="I132" s="173">
        <v>20414.77563211487</v>
      </c>
      <c r="J132" s="168">
        <f>IFERROR(MIN('MP Calculations'!$E$30/I132,1),"-")</f>
        <v>0.40513348981719682</v>
      </c>
      <c r="K132" s="12"/>
      <c r="L132" s="159">
        <v>131.400226</v>
      </c>
      <c r="M132" s="187" t="s">
        <v>294</v>
      </c>
      <c r="N132" s="187">
        <v>192.78728599999999</v>
      </c>
      <c r="O132" s="186">
        <f t="shared" si="5"/>
        <v>25332.292950326635</v>
      </c>
      <c r="P132" s="186">
        <f t="shared" si="6"/>
        <v>10262.960248037403</v>
      </c>
      <c r="Q132" s="215">
        <f>IF(P132="-",0,P132/(1+'General inputs'!$H$30)^'MP Calculations'!$C$40)</f>
        <v>22797.000763569042</v>
      </c>
    </row>
    <row r="133" spans="3:17">
      <c r="C133" s="159"/>
      <c r="D133" s="165" t="s">
        <v>281</v>
      </c>
      <c r="E133" s="162">
        <v>27278</v>
      </c>
      <c r="F133" s="166" t="str">
        <f t="shared" si="4"/>
        <v>Date check - OK</v>
      </c>
      <c r="G133" s="68"/>
      <c r="H133" s="162" t="s">
        <v>293</v>
      </c>
      <c r="I133" s="173">
        <v>20414.77563211487</v>
      </c>
      <c r="J133" s="168">
        <f>IFERROR(MIN('MP Calculations'!$E$30/I133,1),"-")</f>
        <v>0.40513348981719682</v>
      </c>
      <c r="K133" s="12"/>
      <c r="L133" s="159">
        <v>11.524867</v>
      </c>
      <c r="M133" s="187" t="s">
        <v>294</v>
      </c>
      <c r="N133" s="187">
        <v>192.78728599999999</v>
      </c>
      <c r="O133" s="186">
        <f t="shared" si="5"/>
        <v>2221.8478304409618</v>
      </c>
      <c r="P133" s="186">
        <f t="shared" si="6"/>
        <v>900.14496538931428</v>
      </c>
      <c r="Q133" s="215">
        <f>IF(P133="-",0,P133/(1+'General inputs'!$H$30)^'MP Calculations'!$C$40)</f>
        <v>1999.4821150386119</v>
      </c>
    </row>
    <row r="134" spans="3:17">
      <c r="C134" s="159"/>
      <c r="D134" s="165" t="s">
        <v>281</v>
      </c>
      <c r="E134" s="162">
        <v>27278</v>
      </c>
      <c r="F134" s="166" t="str">
        <f t="shared" si="4"/>
        <v>Date check - OK</v>
      </c>
      <c r="G134" s="68"/>
      <c r="H134" s="162" t="s">
        <v>293</v>
      </c>
      <c r="I134" s="173">
        <v>20414.77563211487</v>
      </c>
      <c r="J134" s="168">
        <f>IFERROR(MIN('MP Calculations'!$E$30/I134,1),"-")</f>
        <v>0.40513348981719682</v>
      </c>
      <c r="K134" s="12"/>
      <c r="L134" s="159">
        <v>3.8438650000000001</v>
      </c>
      <c r="M134" s="187" t="s">
        <v>294</v>
      </c>
      <c r="N134" s="187">
        <v>192.78728599999999</v>
      </c>
      <c r="O134" s="186">
        <f t="shared" si="5"/>
        <v>741.04830110038995</v>
      </c>
      <c r="P134" s="186">
        <f t="shared" si="6"/>
        <v>300.22348434790581</v>
      </c>
      <c r="Q134" s="215">
        <f>IF(P134="-",0,P134/(1+'General inputs'!$H$30)^'MP Calculations'!$C$40)</f>
        <v>666.88312499596691</v>
      </c>
    </row>
    <row r="135" spans="3:17">
      <c r="C135" s="159"/>
      <c r="D135" s="165" t="s">
        <v>281</v>
      </c>
      <c r="E135" s="162">
        <v>27278</v>
      </c>
      <c r="F135" s="166" t="str">
        <f t="shared" si="4"/>
        <v>Date check - OK</v>
      </c>
      <c r="G135" s="68"/>
      <c r="H135" s="162" t="s">
        <v>293</v>
      </c>
      <c r="I135" s="173">
        <v>20414.77563211487</v>
      </c>
      <c r="J135" s="168">
        <f>IFERROR(MIN('MP Calculations'!$E$30/I135,1),"-")</f>
        <v>0.40513348981719682</v>
      </c>
      <c r="K135" s="12"/>
      <c r="L135" s="159">
        <v>165.455187</v>
      </c>
      <c r="M135" s="187" t="s">
        <v>294</v>
      </c>
      <c r="N135" s="187">
        <v>192.78728599999999</v>
      </c>
      <c r="O135" s="186">
        <f t="shared" si="5"/>
        <v>31897.656456352481</v>
      </c>
      <c r="P135" s="186">
        <f t="shared" si="6"/>
        <v>12922.80887715212</v>
      </c>
      <c r="Q135" s="215">
        <f>IF(P135="-",0,P135/(1+'General inputs'!$H$30)^'MP Calculations'!$C$40)</f>
        <v>28705.293279902409</v>
      </c>
    </row>
    <row r="136" spans="3:17">
      <c r="C136" s="159"/>
      <c r="D136" s="165" t="s">
        <v>281</v>
      </c>
      <c r="E136" s="162">
        <v>27278</v>
      </c>
      <c r="F136" s="166" t="str">
        <f t="shared" si="4"/>
        <v>Date check - OK</v>
      </c>
      <c r="G136" s="68"/>
      <c r="H136" s="162" t="s">
        <v>293</v>
      </c>
      <c r="I136" s="173">
        <v>20414.77563211487</v>
      </c>
      <c r="J136" s="168">
        <f>IFERROR(MIN('MP Calculations'!$E$30/I136,1),"-")</f>
        <v>0.40513348981719682</v>
      </c>
      <c r="K136" s="12"/>
      <c r="L136" s="159">
        <v>1.12069</v>
      </c>
      <c r="M136" s="187" t="s">
        <v>294</v>
      </c>
      <c r="N136" s="187">
        <v>192.78728599999999</v>
      </c>
      <c r="O136" s="186">
        <f t="shared" si="5"/>
        <v>216.05478354733998</v>
      </c>
      <c r="P136" s="186">
        <f t="shared" si="6"/>
        <v>87.531028450232924</v>
      </c>
      <c r="Q136" s="215">
        <f>IF(P136="-",0,P136/(1+'General inputs'!$H$30)^'MP Calculations'!$C$40)</f>
        <v>194.43171114275088</v>
      </c>
    </row>
    <row r="137" spans="3:17">
      <c r="C137" s="159"/>
      <c r="D137" s="165" t="s">
        <v>281</v>
      </c>
      <c r="E137" s="162">
        <v>27278</v>
      </c>
      <c r="F137" s="166" t="str">
        <f t="shared" si="4"/>
        <v>Date check - OK</v>
      </c>
      <c r="G137" s="68"/>
      <c r="H137" s="162" t="s">
        <v>293</v>
      </c>
      <c r="I137" s="173">
        <v>20414.77563211487</v>
      </c>
      <c r="J137" s="168">
        <f>IFERROR(MIN('MP Calculations'!$E$30/I137,1),"-")</f>
        <v>0.40513348981719682</v>
      </c>
      <c r="K137" s="12"/>
      <c r="L137" s="159">
        <v>0.69515199999999999</v>
      </c>
      <c r="M137" s="187" t="s">
        <v>294</v>
      </c>
      <c r="N137" s="187">
        <v>192.78728599999999</v>
      </c>
      <c r="O137" s="186">
        <f t="shared" si="5"/>
        <v>134.01646743747199</v>
      </c>
      <c r="P137" s="186">
        <f t="shared" si="6"/>
        <v>54.294559145915748</v>
      </c>
      <c r="Q137" s="215">
        <f>IF(P137="-",0,P137/(1+'General inputs'!$H$30)^'MP Calculations'!$C$40)</f>
        <v>120.60390729310119</v>
      </c>
    </row>
    <row r="138" spans="3:17">
      <c r="C138" s="159"/>
      <c r="D138" s="165" t="s">
        <v>281</v>
      </c>
      <c r="E138" s="162">
        <v>27278</v>
      </c>
      <c r="F138" s="166" t="str">
        <f t="shared" si="4"/>
        <v>Date check - OK</v>
      </c>
      <c r="G138" s="68"/>
      <c r="H138" s="162" t="s">
        <v>293</v>
      </c>
      <c r="I138" s="173">
        <v>20414.77563211487</v>
      </c>
      <c r="J138" s="168">
        <f>IFERROR(MIN('MP Calculations'!$E$30/I138,1),"-")</f>
        <v>0.40513348981719682</v>
      </c>
      <c r="K138" s="12"/>
      <c r="L138" s="159">
        <v>99.900445000000005</v>
      </c>
      <c r="M138" s="187" t="s">
        <v>294</v>
      </c>
      <c r="N138" s="187">
        <v>192.78728599999999</v>
      </c>
      <c r="O138" s="186">
        <f t="shared" si="5"/>
        <v>19259.535661742269</v>
      </c>
      <c r="P138" s="186">
        <f t="shared" si="6"/>
        <v>7802.6828949004012</v>
      </c>
      <c r="Q138" s="215">
        <f>IF(P138="-",0,P138/(1+'General inputs'!$H$30)^'MP Calculations'!$C$40)</f>
        <v>17332.013728392576</v>
      </c>
    </row>
    <row r="139" spans="3:17">
      <c r="C139" s="159"/>
      <c r="D139" s="165" t="s">
        <v>281</v>
      </c>
      <c r="E139" s="162">
        <v>27278</v>
      </c>
      <c r="F139" s="166" t="str">
        <f t="shared" si="4"/>
        <v>Date check - OK</v>
      </c>
      <c r="G139" s="68"/>
      <c r="H139" s="162" t="s">
        <v>293</v>
      </c>
      <c r="I139" s="173">
        <v>20414.77563211487</v>
      </c>
      <c r="J139" s="168">
        <f>IFERROR(MIN('MP Calculations'!$E$30/I139,1),"-")</f>
        <v>0.40513348981719682</v>
      </c>
      <c r="K139" s="12"/>
      <c r="L139" s="159">
        <v>2.9356710000000001</v>
      </c>
      <c r="M139" s="187" t="s">
        <v>294</v>
      </c>
      <c r="N139" s="187">
        <v>192.78728599999999</v>
      </c>
      <c r="O139" s="186">
        <f t="shared" si="5"/>
        <v>565.960044678906</v>
      </c>
      <c r="P139" s="186">
        <f t="shared" si="6"/>
        <v>229.28936799786183</v>
      </c>
      <c r="Q139" s="215">
        <f>IF(P139="-",0,P139/(1+'General inputs'!$H$30)^'MP Calculations'!$C$40)</f>
        <v>509.31795222777993</v>
      </c>
    </row>
    <row r="140" spans="3:17">
      <c r="C140" s="159"/>
      <c r="D140" s="165" t="s">
        <v>281</v>
      </c>
      <c r="E140" s="162">
        <v>27278</v>
      </c>
      <c r="F140" s="166" t="str">
        <f t="shared" si="4"/>
        <v>Date check - OK</v>
      </c>
      <c r="G140" s="68"/>
      <c r="H140" s="162" t="s">
        <v>293</v>
      </c>
      <c r="I140" s="173">
        <v>20414.77563211487</v>
      </c>
      <c r="J140" s="168">
        <f>IFERROR(MIN('MP Calculations'!$E$30/I140,1),"-")</f>
        <v>0.40513348981719682</v>
      </c>
      <c r="K140" s="12"/>
      <c r="L140" s="159">
        <v>29.078185000000001</v>
      </c>
      <c r="M140" s="187" t="s">
        <v>294</v>
      </c>
      <c r="N140" s="187">
        <v>192.78728599999999</v>
      </c>
      <c r="O140" s="186">
        <f t="shared" si="5"/>
        <v>5605.9043679559099</v>
      </c>
      <c r="P140" s="186">
        <f t="shared" si="6"/>
        <v>2271.1396001714447</v>
      </c>
      <c r="Q140" s="215">
        <f>IF(P140="-",0,P140/(1+'General inputs'!$H$30)^'MP Calculations'!$C$40)</f>
        <v>5044.8574239758291</v>
      </c>
    </row>
    <row r="141" spans="3:17">
      <c r="C141" s="159"/>
      <c r="D141" s="165" t="s">
        <v>281</v>
      </c>
      <c r="E141" s="162">
        <v>27278</v>
      </c>
      <c r="F141" s="166" t="str">
        <f t="shared" si="4"/>
        <v>Date check - OK</v>
      </c>
      <c r="G141" s="68"/>
      <c r="H141" s="162" t="s">
        <v>293</v>
      </c>
      <c r="I141" s="173">
        <v>20414.77563211487</v>
      </c>
      <c r="J141" s="168">
        <f>IFERROR(MIN('MP Calculations'!$E$30/I141,1),"-")</f>
        <v>0.40513348981719682</v>
      </c>
      <c r="K141" s="12"/>
      <c r="L141" s="159">
        <v>1.948995</v>
      </c>
      <c r="M141" s="187" t="s">
        <v>294</v>
      </c>
      <c r="N141" s="187">
        <v>192.78728599999999</v>
      </c>
      <c r="O141" s="186">
        <f t="shared" si="5"/>
        <v>375.74145647757001</v>
      </c>
      <c r="P141" s="186">
        <f t="shared" si="6"/>
        <v>152.22544753175433</v>
      </c>
      <c r="Q141" s="215">
        <f>IF(P141="-",0,P141/(1+'General inputs'!$H$30)^'MP Calculations'!$C$40)</f>
        <v>338.13671297028247</v>
      </c>
    </row>
    <row r="142" spans="3:17">
      <c r="C142" s="159"/>
      <c r="D142" s="165" t="s">
        <v>281</v>
      </c>
      <c r="E142" s="162">
        <v>27278</v>
      </c>
      <c r="F142" s="166" t="str">
        <f t="shared" si="4"/>
        <v>Date check - OK</v>
      </c>
      <c r="G142" s="68"/>
      <c r="H142" s="162" t="s">
        <v>293</v>
      </c>
      <c r="I142" s="173">
        <v>20414.77563211487</v>
      </c>
      <c r="J142" s="168">
        <f>IFERROR(MIN('MP Calculations'!$E$30/I142,1),"-")</f>
        <v>0.40513348981719682</v>
      </c>
      <c r="K142" s="12"/>
      <c r="L142" s="159">
        <v>34.263458999999997</v>
      </c>
      <c r="M142" s="187" t="s">
        <v>294</v>
      </c>
      <c r="N142" s="187">
        <v>192.78728599999999</v>
      </c>
      <c r="O142" s="186">
        <f t="shared" si="5"/>
        <v>6605.5592695822734</v>
      </c>
      <c r="P142" s="186">
        <f t="shared" si="6"/>
        <v>2676.1332790801998</v>
      </c>
      <c r="Q142" s="215">
        <f>IF(P142="-",0,P142/(1+'General inputs'!$H$30)^'MP Calculations'!$C$40)</f>
        <v>5944.4654302612562</v>
      </c>
    </row>
    <row r="143" spans="3:17">
      <c r="C143" s="159"/>
      <c r="D143" s="165" t="s">
        <v>434</v>
      </c>
      <c r="E143" s="162">
        <v>27760</v>
      </c>
      <c r="F143" s="166" t="str">
        <f t="shared" si="4"/>
        <v>Date check - OK</v>
      </c>
      <c r="G143" s="68"/>
      <c r="H143" s="162" t="s">
        <v>293</v>
      </c>
      <c r="I143" s="173">
        <v>20414.77563211487</v>
      </c>
      <c r="J143" s="168">
        <f>IFERROR(MIN('MP Calculations'!$E$30/I143,1),"-")</f>
        <v>0.40513348981719682</v>
      </c>
      <c r="K143" s="12"/>
      <c r="L143" s="159">
        <v>1</v>
      </c>
      <c r="M143" s="187" t="s">
        <v>295</v>
      </c>
      <c r="N143" s="187">
        <v>52788.7</v>
      </c>
      <c r="O143" s="186">
        <f t="shared" si="5"/>
        <v>52788.7</v>
      </c>
      <c r="P143" s="186">
        <f t="shared" si="6"/>
        <v>21386.470253913056</v>
      </c>
      <c r="Q143" s="215">
        <f>IF(P143="-",0,P143/(1+'General inputs'!$H$30)^'MP Calculations'!$C$40)</f>
        <v>47505.531242970246</v>
      </c>
    </row>
    <row r="144" spans="3:17">
      <c r="C144" s="159"/>
      <c r="D144" s="165" t="s">
        <v>281</v>
      </c>
      <c r="E144" s="162">
        <v>28126</v>
      </c>
      <c r="F144" s="166" t="str">
        <f t="shared" si="4"/>
        <v>Date check - OK</v>
      </c>
      <c r="G144" s="68"/>
      <c r="H144" s="162" t="s">
        <v>293</v>
      </c>
      <c r="I144" s="173">
        <v>20414.77563211487</v>
      </c>
      <c r="J144" s="168">
        <f>IFERROR(MIN('MP Calculations'!$E$30/I144,1),"-")</f>
        <v>0.40513348981719682</v>
      </c>
      <c r="K144" s="12"/>
      <c r="L144" s="159">
        <v>60.618442000000002</v>
      </c>
      <c r="M144" s="187" t="s">
        <v>294</v>
      </c>
      <c r="N144" s="187">
        <v>192.78728599999999</v>
      </c>
      <c r="O144" s="186">
        <f t="shared" si="5"/>
        <v>11686.464914728413</v>
      </c>
      <c r="P144" s="186">
        <f t="shared" si="6"/>
        <v>4734.5783145301511</v>
      </c>
      <c r="Q144" s="215">
        <f>IF(P144="-",0,P144/(1+'General inputs'!$H$30)^'MP Calculations'!$C$40)</f>
        <v>10516.866756076703</v>
      </c>
    </row>
    <row r="145" spans="3:17">
      <c r="C145" s="159"/>
      <c r="D145" s="165" t="s">
        <v>281</v>
      </c>
      <c r="E145" s="162">
        <v>28126</v>
      </c>
      <c r="F145" s="166" t="str">
        <f t="shared" si="4"/>
        <v>Date check - OK</v>
      </c>
      <c r="G145" s="68"/>
      <c r="H145" s="162" t="s">
        <v>293</v>
      </c>
      <c r="I145" s="173">
        <v>20414.77563211487</v>
      </c>
      <c r="J145" s="168">
        <f>IFERROR(MIN('MP Calculations'!$E$30/I145,1),"-")</f>
        <v>0.40513348981719682</v>
      </c>
      <c r="K145" s="12"/>
      <c r="L145" s="159">
        <v>66.693980999999994</v>
      </c>
      <c r="M145" s="187" t="s">
        <v>294</v>
      </c>
      <c r="N145" s="187">
        <v>192.78728599999999</v>
      </c>
      <c r="O145" s="186">
        <f t="shared" si="5"/>
        <v>12857.751589525564</v>
      </c>
      <c r="P145" s="186">
        <f t="shared" si="6"/>
        <v>5209.1057726671015</v>
      </c>
      <c r="Q145" s="215">
        <f>IF(P145="-",0,P145/(1+'General inputs'!$H$30)^'MP Calculations'!$C$40)</f>
        <v>11570.929381677463</v>
      </c>
    </row>
    <row r="146" spans="3:17">
      <c r="C146" s="159"/>
      <c r="D146" s="165" t="s">
        <v>281</v>
      </c>
      <c r="E146" s="162">
        <v>28126</v>
      </c>
      <c r="F146" s="166" t="str">
        <f t="shared" si="4"/>
        <v>Date check - OK</v>
      </c>
      <c r="G146" s="68"/>
      <c r="H146" s="162" t="s">
        <v>293</v>
      </c>
      <c r="I146" s="173">
        <v>20414.77563211487</v>
      </c>
      <c r="J146" s="168">
        <f>IFERROR(MIN('MP Calculations'!$E$30/I146,1),"-")</f>
        <v>0.40513348981719682</v>
      </c>
      <c r="K146" s="12"/>
      <c r="L146" s="159">
        <v>0.114756</v>
      </c>
      <c r="M146" s="187" t="s">
        <v>294</v>
      </c>
      <c r="N146" s="187">
        <v>192.78728599999999</v>
      </c>
      <c r="O146" s="186">
        <f t="shared" si="5"/>
        <v>22.123497792216</v>
      </c>
      <c r="P146" s="186">
        <f t="shared" si="6"/>
        <v>8.9629698675235172</v>
      </c>
      <c r="Q146" s="215">
        <f>IF(P146="-",0,P146/(1+'General inputs'!$H$30)^'MP Calculations'!$C$40)</f>
        <v>19.909346423986584</v>
      </c>
    </row>
    <row r="147" spans="3:17">
      <c r="C147" s="159"/>
      <c r="D147" s="165" t="s">
        <v>281</v>
      </c>
      <c r="E147" s="162">
        <v>28126</v>
      </c>
      <c r="F147" s="166" t="str">
        <f t="shared" si="4"/>
        <v>Date check - OK</v>
      </c>
      <c r="G147" s="68"/>
      <c r="H147" s="162" t="s">
        <v>293</v>
      </c>
      <c r="I147" s="173">
        <v>20414.77563211487</v>
      </c>
      <c r="J147" s="168">
        <f>IFERROR(MIN('MP Calculations'!$E$30/I147,1),"-")</f>
        <v>0.40513348981719682</v>
      </c>
      <c r="K147" s="12"/>
      <c r="L147" s="159">
        <v>45.679419000000003</v>
      </c>
      <c r="M147" s="187" t="s">
        <v>294</v>
      </c>
      <c r="N147" s="187">
        <v>192.78728599999999</v>
      </c>
      <c r="O147" s="186">
        <f t="shared" si="5"/>
        <v>8806.4112150668352</v>
      </c>
      <c r="P147" s="186">
        <f t="shared" si="6"/>
        <v>3567.7721083253277</v>
      </c>
      <c r="Q147" s="215">
        <f>IF(P147="-",0,P147/(1+'General inputs'!$H$30)^'MP Calculations'!$C$40)</f>
        <v>7925.0529586029043</v>
      </c>
    </row>
    <row r="148" spans="3:17">
      <c r="C148" s="159"/>
      <c r="D148" s="165" t="s">
        <v>281</v>
      </c>
      <c r="E148" s="162">
        <v>28126</v>
      </c>
      <c r="F148" s="166" t="str">
        <f t="shared" si="4"/>
        <v>Date check - OK</v>
      </c>
      <c r="G148" s="68"/>
      <c r="H148" s="162" t="s">
        <v>293</v>
      </c>
      <c r="I148" s="173">
        <v>20414.77563211487</v>
      </c>
      <c r="J148" s="168">
        <f>IFERROR(MIN('MP Calculations'!$E$30/I148,1),"-")</f>
        <v>0.40513348981719682</v>
      </c>
      <c r="K148" s="12"/>
      <c r="L148" s="159">
        <v>71.344761000000005</v>
      </c>
      <c r="M148" s="187" t="s">
        <v>294</v>
      </c>
      <c r="N148" s="187">
        <v>192.78728599999999</v>
      </c>
      <c r="O148" s="186">
        <f t="shared" si="5"/>
        <v>13754.362843508647</v>
      </c>
      <c r="P148" s="186">
        <f t="shared" si="6"/>
        <v>5572.3530190026404</v>
      </c>
      <c r="Q148" s="215">
        <f>IF(P148="-",0,P148/(1+'General inputs'!$H$30)^'MP Calculations'!$C$40)</f>
        <v>12377.806496266228</v>
      </c>
    </row>
    <row r="149" spans="3:17">
      <c r="C149" s="159"/>
      <c r="D149" s="165" t="s">
        <v>281</v>
      </c>
      <c r="E149" s="162">
        <v>28126</v>
      </c>
      <c r="F149" s="166" t="str">
        <f t="shared" si="4"/>
        <v>Date check - OK</v>
      </c>
      <c r="G149" s="68"/>
      <c r="H149" s="162" t="s">
        <v>293</v>
      </c>
      <c r="I149" s="173">
        <v>20414.77563211487</v>
      </c>
      <c r="J149" s="168">
        <f>IFERROR(MIN('MP Calculations'!$E$30/I149,1),"-")</f>
        <v>0.40513348981719682</v>
      </c>
      <c r="K149" s="12"/>
      <c r="L149" s="159">
        <v>0.20984800000000001</v>
      </c>
      <c r="M149" s="187" t="s">
        <v>294</v>
      </c>
      <c r="N149" s="187">
        <v>192.78728599999999</v>
      </c>
      <c r="O149" s="186">
        <f t="shared" si="5"/>
        <v>40.456026392528003</v>
      </c>
      <c r="P149" s="186">
        <f t="shared" si="6"/>
        <v>16.390091156541491</v>
      </c>
      <c r="Q149" s="215">
        <f>IF(P149="-",0,P149/(1+'General inputs'!$H$30)^'MP Calculations'!$C$40)</f>
        <v>36.407129286318252</v>
      </c>
    </row>
    <row r="150" spans="3:17">
      <c r="C150" s="159"/>
      <c r="D150" s="165" t="s">
        <v>281</v>
      </c>
      <c r="E150" s="162">
        <v>28491</v>
      </c>
      <c r="F150" s="166" t="str">
        <f t="shared" si="4"/>
        <v>Date check - OK</v>
      </c>
      <c r="G150" s="68"/>
      <c r="H150" s="162" t="s">
        <v>293</v>
      </c>
      <c r="I150" s="173">
        <v>20414.77563211487</v>
      </c>
      <c r="J150" s="168">
        <f>IFERROR(MIN('MP Calculations'!$E$30/I150,1),"-")</f>
        <v>0.40513348981719682</v>
      </c>
      <c r="K150" s="12"/>
      <c r="L150" s="159">
        <v>0.51788699999999999</v>
      </c>
      <c r="M150" s="187" t="s">
        <v>294</v>
      </c>
      <c r="N150" s="187">
        <v>192.78728599999999</v>
      </c>
      <c r="O150" s="186">
        <f t="shared" si="5"/>
        <v>99.842029184681991</v>
      </c>
      <c r="P150" s="186">
        <f t="shared" si="6"/>
        <v>40.449349714020627</v>
      </c>
      <c r="Q150" s="215">
        <f>IF(P150="-",0,P150/(1+'General inputs'!$H$30)^'MP Calculations'!$C$40)</f>
        <v>89.849695802216331</v>
      </c>
    </row>
    <row r="151" spans="3:17">
      <c r="C151" s="159"/>
      <c r="D151" s="165" t="s">
        <v>281</v>
      </c>
      <c r="E151" s="162">
        <v>28491</v>
      </c>
      <c r="F151" s="166" t="str">
        <f t="shared" ref="F151:F214" si="7">IF(E151="","-",IF(OR(E151&lt;$E$15,E151&gt;$E$16),"ERROR - date outside of range","Date check - OK"))</f>
        <v>Date check - OK</v>
      </c>
      <c r="G151" s="68"/>
      <c r="H151" s="162" t="s">
        <v>293</v>
      </c>
      <c r="I151" s="173">
        <v>20414.77563211487</v>
      </c>
      <c r="J151" s="168">
        <f>IFERROR(MIN('MP Calculations'!$E$30/I151,1),"-")</f>
        <v>0.40513348981719682</v>
      </c>
      <c r="K151" s="12"/>
      <c r="L151" s="159">
        <v>0.482151</v>
      </c>
      <c r="M151" s="187" t="s">
        <v>294</v>
      </c>
      <c r="N151" s="187">
        <v>192.78728599999999</v>
      </c>
      <c r="O151" s="186">
        <f t="shared" ref="O151:O214" si="8">IF(N151="","-",L151*N151)</f>
        <v>92.952582732186002</v>
      </c>
      <c r="P151" s="186">
        <f t="shared" ref="P151:P214" si="9">IF(O151="-","-",IF(OR(E151&lt;$E$15,E151&gt;$E$16),0,O151*J151))</f>
        <v>37.65820422981222</v>
      </c>
      <c r="Q151" s="215">
        <f>IF(P151="-",0,P151/(1+'General inputs'!$H$30)^'MP Calculations'!$C$40)</f>
        <v>83.649755025197408</v>
      </c>
    </row>
    <row r="152" spans="3:17">
      <c r="C152" s="159"/>
      <c r="D152" s="165" t="s">
        <v>281</v>
      </c>
      <c r="E152" s="162">
        <v>28856</v>
      </c>
      <c r="F152" s="166" t="str">
        <f t="shared" si="7"/>
        <v>Date check - OK</v>
      </c>
      <c r="G152" s="68"/>
      <c r="H152" s="162" t="s">
        <v>293</v>
      </c>
      <c r="I152" s="173">
        <v>20414.77563211487</v>
      </c>
      <c r="J152" s="168">
        <f>IFERROR(MIN('MP Calculations'!$E$30/I152,1),"-")</f>
        <v>0.40513348981719682</v>
      </c>
      <c r="K152" s="12"/>
      <c r="L152" s="159">
        <v>3.666655</v>
      </c>
      <c r="M152" s="187" t="s">
        <v>294</v>
      </c>
      <c r="N152" s="187">
        <v>192.78728599999999</v>
      </c>
      <c r="O152" s="186">
        <f t="shared" si="8"/>
        <v>706.88446614833003</v>
      </c>
      <c r="P152" s="186">
        <f t="shared" si="9"/>
        <v>286.38257066823905</v>
      </c>
      <c r="Q152" s="215">
        <f>IF(P152="-",0,P152/(1+'General inputs'!$H$30)^'MP Calculations'!$C$40)</f>
        <v>636.13845561227754</v>
      </c>
    </row>
    <row r="153" spans="3:17">
      <c r="C153" s="159"/>
      <c r="D153" s="165" t="s">
        <v>281</v>
      </c>
      <c r="E153" s="162">
        <v>28856</v>
      </c>
      <c r="F153" s="166" t="str">
        <f t="shared" si="7"/>
        <v>Date check - OK</v>
      </c>
      <c r="G153" s="68"/>
      <c r="H153" s="162" t="s">
        <v>293</v>
      </c>
      <c r="I153" s="173">
        <v>20414.77563211487</v>
      </c>
      <c r="J153" s="168">
        <f>IFERROR(MIN('MP Calculations'!$E$30/I153,1),"-")</f>
        <v>0.40513348981719682</v>
      </c>
      <c r="K153" s="12"/>
      <c r="L153" s="159">
        <v>2.204434</v>
      </c>
      <c r="M153" s="187" t="s">
        <v>294</v>
      </c>
      <c r="N153" s="187">
        <v>192.78728599999999</v>
      </c>
      <c r="O153" s="186">
        <f t="shared" si="8"/>
        <v>424.98684802612399</v>
      </c>
      <c r="P153" s="186">
        <f t="shared" si="9"/>
        <v>172.17640486723428</v>
      </c>
      <c r="Q153" s="215">
        <f>IF(P153="-",0,P153/(1+'General inputs'!$H$30)^'MP Calculations'!$C$40)</f>
        <v>382.45355515018332</v>
      </c>
    </row>
    <row r="154" spans="3:17">
      <c r="C154" s="159"/>
      <c r="D154" s="165" t="s">
        <v>281</v>
      </c>
      <c r="E154" s="162">
        <v>28856</v>
      </c>
      <c r="F154" s="166" t="str">
        <f t="shared" si="7"/>
        <v>Date check - OK</v>
      </c>
      <c r="G154" s="68"/>
      <c r="H154" s="162" t="s">
        <v>293</v>
      </c>
      <c r="I154" s="173">
        <v>20414.77563211487</v>
      </c>
      <c r="J154" s="168">
        <f>IFERROR(MIN('MP Calculations'!$E$30/I154,1),"-")</f>
        <v>0.40513348981719682</v>
      </c>
      <c r="K154" s="12"/>
      <c r="L154" s="159">
        <v>1.8203130000000001</v>
      </c>
      <c r="M154" s="187" t="s">
        <v>294</v>
      </c>
      <c r="N154" s="187">
        <v>192.78728599999999</v>
      </c>
      <c r="O154" s="186">
        <f t="shared" si="8"/>
        <v>350.93320294051802</v>
      </c>
      <c r="P154" s="186">
        <f t="shared" si="9"/>
        <v>142.17479320001863</v>
      </c>
      <c r="Q154" s="215">
        <f>IF(P154="-",0,P154/(1+'General inputs'!$H$30)^'MP Calculations'!$C$40)</f>
        <v>315.81130500441191</v>
      </c>
    </row>
    <row r="155" spans="3:17">
      <c r="C155" s="159"/>
      <c r="D155" s="165" t="s">
        <v>281</v>
      </c>
      <c r="E155" s="162">
        <v>28856</v>
      </c>
      <c r="F155" s="166" t="str">
        <f t="shared" si="7"/>
        <v>Date check - OK</v>
      </c>
      <c r="G155" s="68"/>
      <c r="H155" s="162" t="s">
        <v>293</v>
      </c>
      <c r="I155" s="173">
        <v>20414.77563211487</v>
      </c>
      <c r="J155" s="168">
        <f>IFERROR(MIN('MP Calculations'!$E$30/I155,1),"-")</f>
        <v>0.40513348981719682</v>
      </c>
      <c r="K155" s="12"/>
      <c r="L155" s="159">
        <v>342.01169099999998</v>
      </c>
      <c r="M155" s="187" t="s">
        <v>294</v>
      </c>
      <c r="N155" s="187">
        <v>192.78728599999999</v>
      </c>
      <c r="O155" s="186">
        <f t="shared" si="8"/>
        <v>65935.505688160614</v>
      </c>
      <c r="P155" s="186">
        <f t="shared" si="9"/>
        <v>26712.681522306142</v>
      </c>
      <c r="Q155" s="215">
        <f>IF(P155="-",0,P155/(1+'General inputs'!$H$30)^'MP Calculations'!$C$40)</f>
        <v>59336.585774795676</v>
      </c>
    </row>
    <row r="156" spans="3:17">
      <c r="C156" s="159"/>
      <c r="D156" s="165" t="s">
        <v>282</v>
      </c>
      <c r="E156" s="162">
        <v>28856</v>
      </c>
      <c r="F156" s="166" t="str">
        <f t="shared" si="7"/>
        <v>Date check - OK</v>
      </c>
      <c r="G156" s="68"/>
      <c r="H156" s="162" t="s">
        <v>293</v>
      </c>
      <c r="I156" s="173">
        <v>20414.77563211487</v>
      </c>
      <c r="J156" s="168">
        <f>IFERROR(MIN('MP Calculations'!$E$30/I156,1),"-")</f>
        <v>0.40513348981719682</v>
      </c>
      <c r="K156" s="12"/>
      <c r="L156" s="159">
        <v>1.2996650000000001</v>
      </c>
      <c r="M156" s="187" t="s">
        <v>294</v>
      </c>
      <c r="N156" s="187">
        <v>237.97403299999999</v>
      </c>
      <c r="O156" s="186">
        <f t="shared" si="8"/>
        <v>309.286521598945</v>
      </c>
      <c r="P156" s="186">
        <f t="shared" si="9"/>
        <v>125.30232784880241</v>
      </c>
      <c r="Q156" s="215">
        <f>IF(P156="-",0,P156/(1+'General inputs'!$H$30)^'MP Calculations'!$C$40)</f>
        <v>278.33268322289189</v>
      </c>
    </row>
    <row r="157" spans="3:17">
      <c r="C157" s="159"/>
      <c r="D157" s="165" t="s">
        <v>281</v>
      </c>
      <c r="E157" s="162">
        <v>28856</v>
      </c>
      <c r="F157" s="166" t="str">
        <f t="shared" si="7"/>
        <v>Date check - OK</v>
      </c>
      <c r="G157" s="68"/>
      <c r="H157" s="162" t="s">
        <v>293</v>
      </c>
      <c r="I157" s="173">
        <v>20414.77563211487</v>
      </c>
      <c r="J157" s="168">
        <f>IFERROR(MIN('MP Calculations'!$E$30/I157,1),"-")</f>
        <v>0.40513348981719682</v>
      </c>
      <c r="K157" s="12"/>
      <c r="L157" s="159">
        <v>0.20492199999999999</v>
      </c>
      <c r="M157" s="187" t="s">
        <v>294</v>
      </c>
      <c r="N157" s="187">
        <v>192.78728599999999</v>
      </c>
      <c r="O157" s="186">
        <f t="shared" si="8"/>
        <v>39.506356221691995</v>
      </c>
      <c r="P157" s="186">
        <f t="shared" si="9"/>
        <v>16.005347966055403</v>
      </c>
      <c r="Q157" s="215">
        <f>IF(P157="-",0,P157/(1+'General inputs'!$H$30)^'MP Calculations'!$C$40)</f>
        <v>35.552503467323518</v>
      </c>
    </row>
    <row r="158" spans="3:17">
      <c r="C158" s="159"/>
      <c r="D158" s="165" t="s">
        <v>281</v>
      </c>
      <c r="E158" s="162">
        <v>28856</v>
      </c>
      <c r="F158" s="166" t="str">
        <f t="shared" si="7"/>
        <v>Date check - OK</v>
      </c>
      <c r="G158" s="68"/>
      <c r="H158" s="162" t="s">
        <v>293</v>
      </c>
      <c r="I158" s="173">
        <v>20414.77563211487</v>
      </c>
      <c r="J158" s="168">
        <f>IFERROR(MIN('MP Calculations'!$E$30/I158,1),"-")</f>
        <v>0.40513348981719682</v>
      </c>
      <c r="K158" s="12"/>
      <c r="L158" s="159">
        <v>39.747318</v>
      </c>
      <c r="M158" s="187" t="s">
        <v>294</v>
      </c>
      <c r="N158" s="187">
        <v>192.78728599999999</v>
      </c>
      <c r="O158" s="186">
        <f t="shared" si="8"/>
        <v>7662.7775629989474</v>
      </c>
      <c r="P158" s="186">
        <f t="shared" si="9"/>
        <v>3104.4478157906783</v>
      </c>
      <c r="Q158" s="215">
        <f>IF(P158="-",0,P158/(1+'General inputs'!$H$30)^'MP Calculations'!$C$40)</f>
        <v>6895.8758015821177</v>
      </c>
    </row>
    <row r="159" spans="3:17">
      <c r="C159" s="159"/>
      <c r="D159" s="165" t="s">
        <v>281</v>
      </c>
      <c r="E159" s="162">
        <v>28856</v>
      </c>
      <c r="F159" s="166" t="str">
        <f t="shared" si="7"/>
        <v>Date check - OK</v>
      </c>
      <c r="G159" s="68"/>
      <c r="H159" s="162" t="s">
        <v>293</v>
      </c>
      <c r="I159" s="173">
        <v>20414.77563211487</v>
      </c>
      <c r="J159" s="168">
        <f>IFERROR(MIN('MP Calculations'!$E$30/I159,1),"-")</f>
        <v>0.40513348981719682</v>
      </c>
      <c r="K159" s="12"/>
      <c r="L159" s="159">
        <v>37.122013000000003</v>
      </c>
      <c r="M159" s="187" t="s">
        <v>294</v>
      </c>
      <c r="N159" s="187">
        <v>192.78728599999999</v>
      </c>
      <c r="O159" s="186">
        <f t="shared" si="8"/>
        <v>7156.6521371267181</v>
      </c>
      <c r="P159" s="186">
        <f t="shared" si="9"/>
        <v>2899.3994557218471</v>
      </c>
      <c r="Q159" s="215">
        <f>IF(P159="-",0,P159/(1+'General inputs'!$H$30)^'MP Calculations'!$C$40)</f>
        <v>6440.4041337510316</v>
      </c>
    </row>
    <row r="160" spans="3:17">
      <c r="C160" s="159"/>
      <c r="D160" s="165" t="s">
        <v>281</v>
      </c>
      <c r="E160" s="162">
        <v>28856</v>
      </c>
      <c r="F160" s="166" t="str">
        <f t="shared" si="7"/>
        <v>Date check - OK</v>
      </c>
      <c r="G160" s="68"/>
      <c r="H160" s="162" t="s">
        <v>293</v>
      </c>
      <c r="I160" s="173">
        <v>20414.77563211487</v>
      </c>
      <c r="J160" s="168">
        <f>IFERROR(MIN('MP Calculations'!$E$30/I160,1),"-")</f>
        <v>0.40513348981719682</v>
      </c>
      <c r="K160" s="12"/>
      <c r="L160" s="159">
        <v>177.55350100000001</v>
      </c>
      <c r="M160" s="187" t="s">
        <v>294</v>
      </c>
      <c r="N160" s="187">
        <v>192.78728599999999</v>
      </c>
      <c r="O160" s="186">
        <f t="shared" si="8"/>
        <v>34230.05757758829</v>
      </c>
      <c r="P160" s="186">
        <f t="shared" si="9"/>
        <v>13867.742683051927</v>
      </c>
      <c r="Q160" s="215">
        <f>IF(P160="-",0,P160/(1+'General inputs'!$H$30)^'MP Calculations'!$C$40)</f>
        <v>30804.264353939216</v>
      </c>
    </row>
    <row r="161" spans="3:17">
      <c r="C161" s="159"/>
      <c r="D161" s="165" t="s">
        <v>281</v>
      </c>
      <c r="E161" s="162">
        <v>28856</v>
      </c>
      <c r="F161" s="166" t="str">
        <f t="shared" si="7"/>
        <v>Date check - OK</v>
      </c>
      <c r="G161" s="68"/>
      <c r="H161" s="162" t="s">
        <v>293</v>
      </c>
      <c r="I161" s="173">
        <v>20414.77563211487</v>
      </c>
      <c r="J161" s="168">
        <f>IFERROR(MIN('MP Calculations'!$E$30/I161,1),"-")</f>
        <v>0.40513348981719682</v>
      </c>
      <c r="K161" s="12"/>
      <c r="L161" s="159">
        <v>77.921448999999996</v>
      </c>
      <c r="M161" s="187" t="s">
        <v>294</v>
      </c>
      <c r="N161" s="187">
        <v>192.78728599999999</v>
      </c>
      <c r="O161" s="186">
        <f t="shared" si="8"/>
        <v>15022.264673897413</v>
      </c>
      <c r="P161" s="186">
        <f t="shared" si="9"/>
        <v>6086.0225122936527</v>
      </c>
      <c r="Q161" s="215">
        <f>IF(P161="-",0,P161/(1+'General inputs'!$H$30)^'MP Calculations'!$C$40)</f>
        <v>13518.814894210347</v>
      </c>
    </row>
    <row r="162" spans="3:17">
      <c r="C162" s="159"/>
      <c r="D162" s="165" t="s">
        <v>281</v>
      </c>
      <c r="E162" s="162">
        <v>28856</v>
      </c>
      <c r="F162" s="166" t="str">
        <f t="shared" si="7"/>
        <v>Date check - OK</v>
      </c>
      <c r="G162" s="68"/>
      <c r="H162" s="162" t="s">
        <v>293</v>
      </c>
      <c r="I162" s="173">
        <v>20414.77563211487</v>
      </c>
      <c r="J162" s="168">
        <f>IFERROR(MIN('MP Calculations'!$E$30/I162,1),"-")</f>
        <v>0.40513348981719682</v>
      </c>
      <c r="K162" s="12"/>
      <c r="L162" s="159">
        <v>6.412115</v>
      </c>
      <c r="M162" s="187" t="s">
        <v>294</v>
      </c>
      <c r="N162" s="187">
        <v>192.78728599999999</v>
      </c>
      <c r="O162" s="186">
        <f t="shared" si="8"/>
        <v>1236.1742483698899</v>
      </c>
      <c r="P162" s="186">
        <f t="shared" si="9"/>
        <v>500.81558726424373</v>
      </c>
      <c r="Q162" s="215">
        <f>IF(P162="-",0,P162/(1+'General inputs'!$H$30)^'MP Calculations'!$C$40)</f>
        <v>1112.4561578082255</v>
      </c>
    </row>
    <row r="163" spans="3:17">
      <c r="C163" s="159"/>
      <c r="D163" s="165" t="s">
        <v>281</v>
      </c>
      <c r="E163" s="162">
        <v>28856</v>
      </c>
      <c r="F163" s="166" t="str">
        <f t="shared" si="7"/>
        <v>Date check - OK</v>
      </c>
      <c r="G163" s="68"/>
      <c r="H163" s="162" t="s">
        <v>293</v>
      </c>
      <c r="I163" s="173">
        <v>20414.77563211487</v>
      </c>
      <c r="J163" s="168">
        <f>IFERROR(MIN('MP Calculations'!$E$30/I163,1),"-")</f>
        <v>0.40513348981719682</v>
      </c>
      <c r="K163" s="12"/>
      <c r="L163" s="159">
        <v>2.6754859999999998</v>
      </c>
      <c r="M163" s="187" t="s">
        <v>294</v>
      </c>
      <c r="N163" s="187">
        <v>192.78728599999999</v>
      </c>
      <c r="O163" s="186">
        <f t="shared" si="8"/>
        <v>515.79968467099593</v>
      </c>
      <c r="P163" s="186">
        <f t="shared" si="9"/>
        <v>208.96772629737026</v>
      </c>
      <c r="Q163" s="215">
        <f>IF(P163="-",0,P163/(1+'General inputs'!$H$30)^'MP Calculations'!$C$40)</f>
        <v>464.17771294334204</v>
      </c>
    </row>
    <row r="164" spans="3:17">
      <c r="C164" s="159"/>
      <c r="D164" s="165" t="s">
        <v>281</v>
      </c>
      <c r="E164" s="162">
        <v>28856</v>
      </c>
      <c r="F164" s="166" t="str">
        <f t="shared" si="7"/>
        <v>Date check - OK</v>
      </c>
      <c r="G164" s="68"/>
      <c r="H164" s="162" t="s">
        <v>293</v>
      </c>
      <c r="I164" s="173">
        <v>20414.77563211487</v>
      </c>
      <c r="J164" s="168">
        <f>IFERROR(MIN('MP Calculations'!$E$30/I164,1),"-")</f>
        <v>0.40513348981719682</v>
      </c>
      <c r="K164" s="12"/>
      <c r="L164" s="159">
        <v>3.8105419999999999</v>
      </c>
      <c r="M164" s="187" t="s">
        <v>294</v>
      </c>
      <c r="N164" s="187">
        <v>192.78728599999999</v>
      </c>
      <c r="O164" s="186">
        <f t="shared" si="8"/>
        <v>734.62405036901191</v>
      </c>
      <c r="P164" s="186">
        <f t="shared" si="9"/>
        <v>297.62080522964197</v>
      </c>
      <c r="Q164" s="215">
        <f>IF(P164="-",0,P164/(1+'General inputs'!$H$30)^'MP Calculations'!$C$40)</f>
        <v>661.10182248554031</v>
      </c>
    </row>
    <row r="165" spans="3:17">
      <c r="C165" s="159"/>
      <c r="D165" s="165" t="s">
        <v>282</v>
      </c>
      <c r="E165" s="162">
        <v>28856</v>
      </c>
      <c r="F165" s="166" t="str">
        <f t="shared" si="7"/>
        <v>Date check - OK</v>
      </c>
      <c r="G165" s="68"/>
      <c r="H165" s="162" t="s">
        <v>293</v>
      </c>
      <c r="I165" s="173">
        <v>20414.77563211487</v>
      </c>
      <c r="J165" s="168">
        <f>IFERROR(MIN('MP Calculations'!$E$30/I165,1),"-")</f>
        <v>0.40513348981719682</v>
      </c>
      <c r="K165" s="12"/>
      <c r="L165" s="159">
        <v>115.180029</v>
      </c>
      <c r="M165" s="187" t="s">
        <v>294</v>
      </c>
      <c r="N165" s="187">
        <v>237.97403299999999</v>
      </c>
      <c r="O165" s="186">
        <f t="shared" si="8"/>
        <v>27409.856022186956</v>
      </c>
      <c r="P165" s="186">
        <f t="shared" si="9"/>
        <v>11104.650625655509</v>
      </c>
      <c r="Q165" s="215">
        <f>IF(P165="-",0,P165/(1+'General inputs'!$H$30)^'MP Calculations'!$C$40)</f>
        <v>24666.638345466334</v>
      </c>
    </row>
    <row r="166" spans="3:17">
      <c r="C166" s="159"/>
      <c r="D166" s="165" t="s">
        <v>281</v>
      </c>
      <c r="E166" s="162">
        <v>28856</v>
      </c>
      <c r="F166" s="166" t="str">
        <f t="shared" si="7"/>
        <v>Date check - OK</v>
      </c>
      <c r="G166" s="68"/>
      <c r="H166" s="162" t="s">
        <v>293</v>
      </c>
      <c r="I166" s="173">
        <v>20414.77563211487</v>
      </c>
      <c r="J166" s="168">
        <f>IFERROR(MIN('MP Calculations'!$E$30/I166,1),"-")</f>
        <v>0.40513348981719682</v>
      </c>
      <c r="K166" s="12"/>
      <c r="L166" s="159">
        <v>133.212672</v>
      </c>
      <c r="M166" s="187" t="s">
        <v>294</v>
      </c>
      <c r="N166" s="187">
        <v>192.78728599999999</v>
      </c>
      <c r="O166" s="186">
        <f t="shared" si="8"/>
        <v>25681.709495688192</v>
      </c>
      <c r="P166" s="186">
        <f t="shared" si="9"/>
        <v>10404.520592459599</v>
      </c>
      <c r="Q166" s="215">
        <f>IF(P166="-",0,P166/(1+'General inputs'!$H$30)^'MP Calculations'!$C$40)</f>
        <v>23111.44720025879</v>
      </c>
    </row>
    <row r="167" spans="3:17">
      <c r="C167" s="159"/>
      <c r="D167" s="165" t="s">
        <v>281</v>
      </c>
      <c r="E167" s="162">
        <v>28856</v>
      </c>
      <c r="F167" s="166" t="str">
        <f t="shared" si="7"/>
        <v>Date check - OK</v>
      </c>
      <c r="G167" s="68"/>
      <c r="H167" s="162" t="s">
        <v>293</v>
      </c>
      <c r="I167" s="173">
        <v>20414.77563211487</v>
      </c>
      <c r="J167" s="168">
        <f>IFERROR(MIN('MP Calculations'!$E$30/I167,1),"-")</f>
        <v>0.40513348981719682</v>
      </c>
      <c r="K167" s="12"/>
      <c r="L167" s="159">
        <v>617.04464199999995</v>
      </c>
      <c r="M167" s="187" t="s">
        <v>294</v>
      </c>
      <c r="N167" s="187">
        <v>192.78728599999999</v>
      </c>
      <c r="O167" s="186">
        <f t="shared" si="8"/>
        <v>118958.3618720216</v>
      </c>
      <c r="P167" s="186">
        <f t="shared" si="9"/>
        <v>48194.016288149076</v>
      </c>
      <c r="Q167" s="215">
        <f>IF(P167="-",0,P167/(1+'General inputs'!$H$30)^'MP Calculations'!$C$40)</f>
        <v>107052.83851513454</v>
      </c>
    </row>
    <row r="168" spans="3:17">
      <c r="C168" s="159"/>
      <c r="D168" s="165" t="s">
        <v>281</v>
      </c>
      <c r="E168" s="162">
        <v>28856</v>
      </c>
      <c r="F168" s="166" t="str">
        <f t="shared" si="7"/>
        <v>Date check - OK</v>
      </c>
      <c r="G168" s="68"/>
      <c r="H168" s="162" t="s">
        <v>293</v>
      </c>
      <c r="I168" s="173">
        <v>20414.77563211487</v>
      </c>
      <c r="J168" s="168">
        <f>IFERROR(MIN('MP Calculations'!$E$30/I168,1),"-")</f>
        <v>0.40513348981719682</v>
      </c>
      <c r="K168" s="12"/>
      <c r="L168" s="159">
        <v>47.096110000000003</v>
      </c>
      <c r="M168" s="187" t="s">
        <v>294</v>
      </c>
      <c r="N168" s="187">
        <v>192.78728599999999</v>
      </c>
      <c r="O168" s="186">
        <f t="shared" si="8"/>
        <v>9079.5312280574599</v>
      </c>
      <c r="P168" s="186">
        <f t="shared" si="9"/>
        <v>3678.4221723271376</v>
      </c>
      <c r="Q168" s="215">
        <f>IF(P168="-",0,P168/(1+'General inputs'!$H$30)^'MP Calculations'!$C$40)</f>
        <v>8170.8387292357584</v>
      </c>
    </row>
    <row r="169" spans="3:17">
      <c r="C169" s="159"/>
      <c r="D169" s="165" t="s">
        <v>281</v>
      </c>
      <c r="E169" s="162">
        <v>28856</v>
      </c>
      <c r="F169" s="166" t="str">
        <f t="shared" si="7"/>
        <v>Date check - OK</v>
      </c>
      <c r="G169" s="68"/>
      <c r="H169" s="162" t="s">
        <v>293</v>
      </c>
      <c r="I169" s="173">
        <v>20414.77563211487</v>
      </c>
      <c r="J169" s="168">
        <f>IFERROR(MIN('MP Calculations'!$E$30/I169,1),"-")</f>
        <v>0.40513348981719682</v>
      </c>
      <c r="K169" s="12"/>
      <c r="L169" s="159">
        <v>19.769732000000001</v>
      </c>
      <c r="M169" s="187" t="s">
        <v>294</v>
      </c>
      <c r="N169" s="187">
        <v>192.78728599999999</v>
      </c>
      <c r="O169" s="186">
        <f t="shared" si="8"/>
        <v>3811.3529772273523</v>
      </c>
      <c r="P169" s="186">
        <f t="shared" si="9"/>
        <v>1544.1067325892802</v>
      </c>
      <c r="Q169" s="215">
        <f>IF(P169="-",0,P169/(1+'General inputs'!$H$30)^'MP Calculations'!$C$40)</f>
        <v>3429.9073085274244</v>
      </c>
    </row>
    <row r="170" spans="3:17">
      <c r="C170" s="159"/>
      <c r="D170" s="165" t="s">
        <v>281</v>
      </c>
      <c r="E170" s="162">
        <v>28856</v>
      </c>
      <c r="F170" s="166" t="str">
        <f t="shared" si="7"/>
        <v>Date check - OK</v>
      </c>
      <c r="G170" s="68"/>
      <c r="H170" s="162" t="s">
        <v>293</v>
      </c>
      <c r="I170" s="173">
        <v>20414.77563211487</v>
      </c>
      <c r="J170" s="168">
        <f>IFERROR(MIN('MP Calculations'!$E$30/I170,1),"-")</f>
        <v>0.40513348981719682</v>
      </c>
      <c r="K170" s="12"/>
      <c r="L170" s="159">
        <v>491.19818700000002</v>
      </c>
      <c r="M170" s="187" t="s">
        <v>294</v>
      </c>
      <c r="N170" s="187">
        <v>192.78728599999999</v>
      </c>
      <c r="O170" s="186">
        <f t="shared" si="8"/>
        <v>94696.765359850484</v>
      </c>
      <c r="P170" s="186">
        <f t="shared" si="9"/>
        <v>38364.831024636464</v>
      </c>
      <c r="Q170" s="215">
        <f>IF(P170="-",0,P170/(1+'General inputs'!$H$30)^'MP Calculations'!$C$40)</f>
        <v>85219.377355581775</v>
      </c>
    </row>
    <row r="171" spans="3:17">
      <c r="C171" s="159"/>
      <c r="D171" s="165" t="s">
        <v>281</v>
      </c>
      <c r="E171" s="162">
        <v>28856</v>
      </c>
      <c r="F171" s="166" t="str">
        <f t="shared" si="7"/>
        <v>Date check - OK</v>
      </c>
      <c r="G171" s="68"/>
      <c r="H171" s="162" t="s">
        <v>293</v>
      </c>
      <c r="I171" s="173">
        <v>20414.77563211487</v>
      </c>
      <c r="J171" s="168">
        <f>IFERROR(MIN('MP Calculations'!$E$30/I171,1),"-")</f>
        <v>0.40513348981719682</v>
      </c>
      <c r="K171" s="12"/>
      <c r="L171" s="159">
        <v>4.6790409999999998</v>
      </c>
      <c r="M171" s="187" t="s">
        <v>294</v>
      </c>
      <c r="N171" s="187">
        <v>192.78728599999999</v>
      </c>
      <c r="O171" s="186">
        <f t="shared" si="8"/>
        <v>902.05961547272591</v>
      </c>
      <c r="P171" s="186">
        <f t="shared" si="9"/>
        <v>365.45456003962408</v>
      </c>
      <c r="Q171" s="215">
        <f>IF(P171="-",0,P171/(1+'General inputs'!$H$30)^'MP Calculations'!$C$40)</f>
        <v>811.78019625149534</v>
      </c>
    </row>
    <row r="172" spans="3:17">
      <c r="C172" s="159"/>
      <c r="D172" s="165" t="s">
        <v>282</v>
      </c>
      <c r="E172" s="162">
        <v>28856</v>
      </c>
      <c r="F172" s="166" t="str">
        <f t="shared" si="7"/>
        <v>Date check - OK</v>
      </c>
      <c r="G172" s="68"/>
      <c r="H172" s="162" t="s">
        <v>293</v>
      </c>
      <c r="I172" s="173">
        <v>20414.77563211487</v>
      </c>
      <c r="J172" s="168">
        <f>IFERROR(MIN('MP Calculations'!$E$30/I172,1),"-")</f>
        <v>0.40513348981719682</v>
      </c>
      <c r="K172" s="12"/>
      <c r="L172" s="159">
        <v>291.60029300000002</v>
      </c>
      <c r="M172" s="187" t="s">
        <v>294</v>
      </c>
      <c r="N172" s="187">
        <v>237.97403299999999</v>
      </c>
      <c r="O172" s="186">
        <f t="shared" si="8"/>
        <v>69393.297749191668</v>
      </c>
      <c r="P172" s="186">
        <f t="shared" si="9"/>
        <v>28113.54888705385</v>
      </c>
      <c r="Q172" s="215">
        <f>IF(P172="-",0,P172/(1+'General inputs'!$H$30)^'MP Calculations'!$C$40)</f>
        <v>62448.317050371799</v>
      </c>
    </row>
    <row r="173" spans="3:17">
      <c r="C173" s="159"/>
      <c r="D173" s="165" t="s">
        <v>281</v>
      </c>
      <c r="E173" s="162">
        <v>28856</v>
      </c>
      <c r="F173" s="166" t="str">
        <f t="shared" si="7"/>
        <v>Date check - OK</v>
      </c>
      <c r="G173" s="68"/>
      <c r="H173" s="162" t="s">
        <v>293</v>
      </c>
      <c r="I173" s="173">
        <v>20414.77563211487</v>
      </c>
      <c r="J173" s="168">
        <f>IFERROR(MIN('MP Calculations'!$E$30/I173,1),"-")</f>
        <v>0.40513348981719682</v>
      </c>
      <c r="K173" s="12"/>
      <c r="L173" s="159">
        <v>4.7166259999999998</v>
      </c>
      <c r="M173" s="187" t="s">
        <v>294</v>
      </c>
      <c r="N173" s="187">
        <v>192.78728599999999</v>
      </c>
      <c r="O173" s="186">
        <f t="shared" si="8"/>
        <v>909.30552561703598</v>
      </c>
      <c r="P173" s="186">
        <f t="shared" si="9"/>
        <v>368.39012090329027</v>
      </c>
      <c r="Q173" s="215">
        <f>IF(P173="-",0,P173/(1+'General inputs'!$H$30)^'MP Calculations'!$C$40)</f>
        <v>818.30092532313904</v>
      </c>
    </row>
    <row r="174" spans="3:17">
      <c r="C174" s="159"/>
      <c r="D174" s="165" t="s">
        <v>282</v>
      </c>
      <c r="E174" s="162">
        <v>28856</v>
      </c>
      <c r="F174" s="166" t="str">
        <f t="shared" si="7"/>
        <v>Date check - OK</v>
      </c>
      <c r="G174" s="68"/>
      <c r="H174" s="162" t="s">
        <v>293</v>
      </c>
      <c r="I174" s="173">
        <v>20414.77563211487</v>
      </c>
      <c r="J174" s="168">
        <f>IFERROR(MIN('MP Calculations'!$E$30/I174,1),"-")</f>
        <v>0.40513348981719682</v>
      </c>
      <c r="K174" s="12"/>
      <c r="L174" s="159">
        <v>17.245353000000001</v>
      </c>
      <c r="M174" s="187" t="s">
        <v>294</v>
      </c>
      <c r="N174" s="187">
        <v>237.97403299999999</v>
      </c>
      <c r="O174" s="186">
        <f t="shared" si="8"/>
        <v>4103.9462039186492</v>
      </c>
      <c r="P174" s="186">
        <f t="shared" si="9"/>
        <v>1662.6460476155996</v>
      </c>
      <c r="Q174" s="215">
        <f>IF(P174="-",0,P174/(1+'General inputs'!$H$30)^'MP Calculations'!$C$40)</f>
        <v>3693.2173857232046</v>
      </c>
    </row>
    <row r="175" spans="3:17">
      <c r="C175" s="159"/>
      <c r="D175" s="165" t="s">
        <v>281</v>
      </c>
      <c r="E175" s="162">
        <v>28856</v>
      </c>
      <c r="F175" s="166" t="str">
        <f t="shared" si="7"/>
        <v>Date check - OK</v>
      </c>
      <c r="G175" s="68"/>
      <c r="H175" s="162" t="s">
        <v>293</v>
      </c>
      <c r="I175" s="173">
        <v>20414.77563211487</v>
      </c>
      <c r="J175" s="168">
        <f>IFERROR(MIN('MP Calculations'!$E$30/I175,1),"-")</f>
        <v>0.40513348981719682</v>
      </c>
      <c r="K175" s="12"/>
      <c r="L175" s="159">
        <v>97.518642</v>
      </c>
      <c r="M175" s="187" t="s">
        <v>294</v>
      </c>
      <c r="N175" s="187">
        <v>192.78728599999999</v>
      </c>
      <c r="O175" s="186">
        <f t="shared" si="8"/>
        <v>18800.354325585613</v>
      </c>
      <c r="P175" s="186">
        <f t="shared" si="9"/>
        <v>7616.6531577243313</v>
      </c>
      <c r="Q175" s="215">
        <f>IF(P175="-",0,P175/(1+'General inputs'!$H$30)^'MP Calculations'!$C$40)</f>
        <v>16918.787918494265</v>
      </c>
    </row>
    <row r="176" spans="3:17">
      <c r="C176" s="159"/>
      <c r="D176" s="165" t="s">
        <v>282</v>
      </c>
      <c r="E176" s="162">
        <v>28856</v>
      </c>
      <c r="F176" s="166" t="str">
        <f t="shared" si="7"/>
        <v>Date check - OK</v>
      </c>
      <c r="G176" s="68"/>
      <c r="H176" s="162" t="s">
        <v>293</v>
      </c>
      <c r="I176" s="173">
        <v>20414.77563211487</v>
      </c>
      <c r="J176" s="168">
        <f>IFERROR(MIN('MP Calculations'!$E$30/I176,1),"-")</f>
        <v>0.40513348981719682</v>
      </c>
      <c r="K176" s="12"/>
      <c r="L176" s="159">
        <v>283.74416300000001</v>
      </c>
      <c r="M176" s="187" t="s">
        <v>294</v>
      </c>
      <c r="N176" s="187">
        <v>237.97403299999999</v>
      </c>
      <c r="O176" s="186">
        <f t="shared" si="8"/>
        <v>67523.742809319374</v>
      </c>
      <c r="P176" s="186">
        <f t="shared" si="9"/>
        <v>27356.129569858407</v>
      </c>
      <c r="Q176" s="215">
        <f>IF(P176="-",0,P176/(1+'General inputs'!$H$30)^'MP Calculations'!$C$40)</f>
        <v>60765.869848479109</v>
      </c>
    </row>
    <row r="177" spans="3:17">
      <c r="C177" s="159"/>
      <c r="D177" s="165" t="s">
        <v>281</v>
      </c>
      <c r="E177" s="162">
        <v>28856</v>
      </c>
      <c r="F177" s="166" t="str">
        <f t="shared" si="7"/>
        <v>Date check - OK</v>
      </c>
      <c r="G177" s="68"/>
      <c r="H177" s="162" t="s">
        <v>293</v>
      </c>
      <c r="I177" s="173">
        <v>20414.77563211487</v>
      </c>
      <c r="J177" s="168">
        <f>IFERROR(MIN('MP Calculations'!$E$30/I177,1),"-")</f>
        <v>0.40513348981719682</v>
      </c>
      <c r="K177" s="12"/>
      <c r="L177" s="159">
        <v>39.455983000000003</v>
      </c>
      <c r="M177" s="187" t="s">
        <v>294</v>
      </c>
      <c r="N177" s="187">
        <v>192.78728599999999</v>
      </c>
      <c r="O177" s="186">
        <f t="shared" si="8"/>
        <v>7606.6118790321389</v>
      </c>
      <c r="P177" s="186">
        <f t="shared" si="9"/>
        <v>3081.6932162372354</v>
      </c>
      <c r="Q177" s="215">
        <f>IF(P177="-",0,P177/(1+'General inputs'!$H$30)^'MP Calculations'!$C$40)</f>
        <v>6845.3312597679032</v>
      </c>
    </row>
    <row r="178" spans="3:17">
      <c r="C178" s="159"/>
      <c r="D178" s="165" t="s">
        <v>282</v>
      </c>
      <c r="E178" s="162">
        <v>28856</v>
      </c>
      <c r="F178" s="166" t="str">
        <f t="shared" si="7"/>
        <v>Date check - OK</v>
      </c>
      <c r="G178" s="68"/>
      <c r="H178" s="162" t="s">
        <v>293</v>
      </c>
      <c r="I178" s="173">
        <v>20414.77563211487</v>
      </c>
      <c r="J178" s="168">
        <f>IFERROR(MIN('MP Calculations'!$E$30/I178,1),"-")</f>
        <v>0.40513348981719682</v>
      </c>
      <c r="K178" s="12"/>
      <c r="L178" s="159">
        <v>181.077619</v>
      </c>
      <c r="M178" s="187" t="s">
        <v>294</v>
      </c>
      <c r="N178" s="187">
        <v>237.97403299999999</v>
      </c>
      <c r="O178" s="186">
        <f t="shared" si="8"/>
        <v>43091.771279467423</v>
      </c>
      <c r="P178" s="186">
        <f t="shared" si="9"/>
        <v>17457.919680855088</v>
      </c>
      <c r="Q178" s="215">
        <f>IF(P178="-",0,P178/(1+'General inputs'!$H$30)^'MP Calculations'!$C$40)</f>
        <v>38779.085047210247</v>
      </c>
    </row>
    <row r="179" spans="3:17">
      <c r="C179" s="159"/>
      <c r="D179" s="165" t="s">
        <v>281</v>
      </c>
      <c r="E179" s="162">
        <v>28856</v>
      </c>
      <c r="F179" s="166" t="str">
        <f t="shared" si="7"/>
        <v>Date check - OK</v>
      </c>
      <c r="G179" s="68"/>
      <c r="H179" s="162" t="s">
        <v>293</v>
      </c>
      <c r="I179" s="173">
        <v>20414.77563211487</v>
      </c>
      <c r="J179" s="168">
        <f>IFERROR(MIN('MP Calculations'!$E$30/I179,1),"-")</f>
        <v>0.40513348981719682</v>
      </c>
      <c r="K179" s="12"/>
      <c r="L179" s="159">
        <v>448.96745800000002</v>
      </c>
      <c r="M179" s="187" t="s">
        <v>294</v>
      </c>
      <c r="N179" s="187">
        <v>192.78728599999999</v>
      </c>
      <c r="O179" s="186">
        <f t="shared" si="8"/>
        <v>86555.217730138989</v>
      </c>
      <c r="P179" s="186">
        <f t="shared" si="9"/>
        <v>35066.417420898521</v>
      </c>
      <c r="Q179" s="215">
        <f>IF(P179="-",0,P179/(1+'General inputs'!$H$30)^'MP Calculations'!$C$40)</f>
        <v>77892.647481775653</v>
      </c>
    </row>
    <row r="180" spans="3:17">
      <c r="C180" s="159"/>
      <c r="D180" s="165" t="s">
        <v>281</v>
      </c>
      <c r="E180" s="162">
        <v>28856</v>
      </c>
      <c r="F180" s="166" t="str">
        <f t="shared" si="7"/>
        <v>Date check - OK</v>
      </c>
      <c r="G180" s="68"/>
      <c r="H180" s="162" t="s">
        <v>293</v>
      </c>
      <c r="I180" s="173">
        <v>20414.77563211487</v>
      </c>
      <c r="J180" s="168">
        <f>IFERROR(MIN('MP Calculations'!$E$30/I180,1),"-")</f>
        <v>0.40513348981719682</v>
      </c>
      <c r="K180" s="12"/>
      <c r="L180" s="159">
        <v>74.893855000000002</v>
      </c>
      <c r="M180" s="187" t="s">
        <v>294</v>
      </c>
      <c r="N180" s="187">
        <v>192.78728599999999</v>
      </c>
      <c r="O180" s="186">
        <f t="shared" si="8"/>
        <v>14438.583043527529</v>
      </c>
      <c r="P180" s="186">
        <f t="shared" si="9"/>
        <v>5849.553536439711</v>
      </c>
      <c r="Q180" s="215">
        <f>IF(P180="-",0,P180/(1+'General inputs'!$H$30)^'MP Calculations'!$C$40)</f>
        <v>12993.548957987552</v>
      </c>
    </row>
    <row r="181" spans="3:17">
      <c r="C181" s="159"/>
      <c r="D181" s="165" t="s">
        <v>281</v>
      </c>
      <c r="E181" s="162">
        <v>28856</v>
      </c>
      <c r="F181" s="166" t="str">
        <f t="shared" si="7"/>
        <v>Date check - OK</v>
      </c>
      <c r="G181" s="68"/>
      <c r="H181" s="162" t="s">
        <v>293</v>
      </c>
      <c r="I181" s="173">
        <v>20414.77563211487</v>
      </c>
      <c r="J181" s="168">
        <f>IFERROR(MIN('MP Calculations'!$E$30/I181,1),"-")</f>
        <v>0.40513348981719682</v>
      </c>
      <c r="K181" s="12"/>
      <c r="L181" s="159">
        <v>3.2284799999999998</v>
      </c>
      <c r="M181" s="187" t="s">
        <v>294</v>
      </c>
      <c r="N181" s="187">
        <v>192.78728599999999</v>
      </c>
      <c r="O181" s="186">
        <f t="shared" si="8"/>
        <v>622.40989710527992</v>
      </c>
      <c r="P181" s="186">
        <f t="shared" si="9"/>
        <v>252.15909371102444</v>
      </c>
      <c r="Q181" s="215">
        <f>IF(P181="-",0,P181/(1+'General inputs'!$H$30)^'MP Calculations'!$C$40)</f>
        <v>560.11822251483318</v>
      </c>
    </row>
    <row r="182" spans="3:17">
      <c r="C182" s="159"/>
      <c r="D182" s="165" t="s">
        <v>282</v>
      </c>
      <c r="E182" s="162">
        <v>28856</v>
      </c>
      <c r="F182" s="166" t="str">
        <f t="shared" si="7"/>
        <v>Date check - OK</v>
      </c>
      <c r="G182" s="68"/>
      <c r="H182" s="162" t="s">
        <v>293</v>
      </c>
      <c r="I182" s="173">
        <v>20414.77563211487</v>
      </c>
      <c r="J182" s="168">
        <f>IFERROR(MIN('MP Calculations'!$E$30/I182,1),"-")</f>
        <v>0.40513348981719682</v>
      </c>
      <c r="K182" s="12"/>
      <c r="L182" s="159">
        <v>205.040976</v>
      </c>
      <c r="M182" s="187" t="s">
        <v>294</v>
      </c>
      <c r="N182" s="187">
        <v>237.97403299999999</v>
      </c>
      <c r="O182" s="186">
        <f t="shared" si="8"/>
        <v>48794.427988976204</v>
      </c>
      <c r="P182" s="186">
        <f t="shared" si="9"/>
        <v>19768.256894807833</v>
      </c>
      <c r="Q182" s="215">
        <f>IF(P182="-",0,P182/(1+'General inputs'!$H$30)^'MP Calculations'!$C$40)</f>
        <v>43911.011699723065</v>
      </c>
    </row>
    <row r="183" spans="3:17">
      <c r="C183" s="159"/>
      <c r="D183" s="165" t="s">
        <v>281</v>
      </c>
      <c r="E183" s="162">
        <v>28856</v>
      </c>
      <c r="F183" s="166" t="str">
        <f t="shared" si="7"/>
        <v>Date check - OK</v>
      </c>
      <c r="G183" s="68"/>
      <c r="H183" s="162" t="s">
        <v>293</v>
      </c>
      <c r="I183" s="173">
        <v>20414.77563211487</v>
      </c>
      <c r="J183" s="168">
        <f>IFERROR(MIN('MP Calculations'!$E$30/I183,1),"-")</f>
        <v>0.40513348981719682</v>
      </c>
      <c r="K183" s="12"/>
      <c r="L183" s="159">
        <v>76.609932999999998</v>
      </c>
      <c r="M183" s="187" t="s">
        <v>294</v>
      </c>
      <c r="N183" s="187">
        <v>192.78728599999999</v>
      </c>
      <c r="O183" s="186">
        <f t="shared" si="8"/>
        <v>14769.421063711838</v>
      </c>
      <c r="P183" s="186">
        <f t="shared" si="9"/>
        <v>5983.587098121192</v>
      </c>
      <c r="Q183" s="215">
        <f>IF(P183="-",0,P183/(1+'General inputs'!$H$30)^'MP Calculations'!$C$40)</f>
        <v>13291.276234928035</v>
      </c>
    </row>
    <row r="184" spans="3:17">
      <c r="C184" s="159"/>
      <c r="D184" s="165" t="s">
        <v>281</v>
      </c>
      <c r="E184" s="162">
        <v>28856</v>
      </c>
      <c r="F184" s="166" t="str">
        <f t="shared" si="7"/>
        <v>Date check - OK</v>
      </c>
      <c r="G184" s="68"/>
      <c r="H184" s="162" t="s">
        <v>293</v>
      </c>
      <c r="I184" s="173">
        <v>20414.77563211487</v>
      </c>
      <c r="J184" s="168">
        <f>IFERROR(MIN('MP Calculations'!$E$30/I184,1),"-")</f>
        <v>0.40513348981719682</v>
      </c>
      <c r="K184" s="12"/>
      <c r="L184" s="159">
        <v>1.517131</v>
      </c>
      <c r="M184" s="187" t="s">
        <v>294</v>
      </c>
      <c r="N184" s="187">
        <v>192.78728599999999</v>
      </c>
      <c r="O184" s="186">
        <f t="shared" si="8"/>
        <v>292.48356799646598</v>
      </c>
      <c r="P184" s="186">
        <f t="shared" si="9"/>
        <v>118.49488861659364</v>
      </c>
      <c r="Q184" s="215">
        <f>IF(P184="-",0,P184/(1+'General inputs'!$H$30)^'MP Calculations'!$C$40)</f>
        <v>263.21139330029962</v>
      </c>
    </row>
    <row r="185" spans="3:17">
      <c r="C185" s="159"/>
      <c r="D185" s="165" t="s">
        <v>281</v>
      </c>
      <c r="E185" s="162">
        <v>28856</v>
      </c>
      <c r="F185" s="166" t="str">
        <f t="shared" si="7"/>
        <v>Date check - OK</v>
      </c>
      <c r="G185" s="68"/>
      <c r="H185" s="162" t="s">
        <v>293</v>
      </c>
      <c r="I185" s="173">
        <v>20414.77563211487</v>
      </c>
      <c r="J185" s="168">
        <f>IFERROR(MIN('MP Calculations'!$E$30/I185,1),"-")</f>
        <v>0.40513348981719682</v>
      </c>
      <c r="K185" s="12"/>
      <c r="L185" s="159">
        <v>777.39198899999997</v>
      </c>
      <c r="M185" s="187" t="s">
        <v>294</v>
      </c>
      <c r="N185" s="187">
        <v>192.78728599999999</v>
      </c>
      <c r="O185" s="186">
        <f t="shared" si="8"/>
        <v>149871.29171745185</v>
      </c>
      <c r="P185" s="186">
        <f t="shared" si="9"/>
        <v>60717.879436902411</v>
      </c>
      <c r="Q185" s="215">
        <f>IF(P185="-",0,P185/(1+'General inputs'!$H$30)^'MP Calculations'!$C$40)</f>
        <v>134871.95803472554</v>
      </c>
    </row>
    <row r="186" spans="3:17">
      <c r="C186" s="159"/>
      <c r="D186" s="165" t="s">
        <v>281</v>
      </c>
      <c r="E186" s="162">
        <v>28856</v>
      </c>
      <c r="F186" s="166" t="str">
        <f t="shared" si="7"/>
        <v>Date check - OK</v>
      </c>
      <c r="G186" s="68"/>
      <c r="H186" s="162" t="s">
        <v>293</v>
      </c>
      <c r="I186" s="173">
        <v>20414.77563211487</v>
      </c>
      <c r="J186" s="168">
        <f>IFERROR(MIN('MP Calculations'!$E$30/I186,1),"-")</f>
        <v>0.40513348981719682</v>
      </c>
      <c r="K186" s="12"/>
      <c r="L186" s="159">
        <v>9.2383190000000006</v>
      </c>
      <c r="M186" s="187" t="s">
        <v>294</v>
      </c>
      <c r="N186" s="187">
        <v>192.78728599999999</v>
      </c>
      <c r="O186" s="186">
        <f t="shared" si="8"/>
        <v>1781.0304472122341</v>
      </c>
      <c r="P186" s="186">
        <f t="shared" si="9"/>
        <v>721.5550805497752</v>
      </c>
      <c r="Q186" s="215">
        <f>IF(P186="-",0,P186/(1+'General inputs'!$H$30)^'MP Calculations'!$C$40)</f>
        <v>1602.7823673385037</v>
      </c>
    </row>
    <row r="187" spans="3:17">
      <c r="C187" s="159"/>
      <c r="D187" s="165" t="s">
        <v>282</v>
      </c>
      <c r="E187" s="162">
        <v>28856</v>
      </c>
      <c r="F187" s="166" t="str">
        <f t="shared" si="7"/>
        <v>Date check - OK</v>
      </c>
      <c r="G187" s="68"/>
      <c r="H187" s="162" t="s">
        <v>293</v>
      </c>
      <c r="I187" s="173">
        <v>20414.77563211487</v>
      </c>
      <c r="J187" s="168">
        <f>IFERROR(MIN('MP Calculations'!$E$30/I187,1),"-")</f>
        <v>0.40513348981719682</v>
      </c>
      <c r="K187" s="12"/>
      <c r="L187" s="159">
        <v>1.783342</v>
      </c>
      <c r="M187" s="187" t="s">
        <v>294</v>
      </c>
      <c r="N187" s="187">
        <v>237.97403299999999</v>
      </c>
      <c r="O187" s="186">
        <f t="shared" si="8"/>
        <v>424.38908795828598</v>
      </c>
      <c r="P187" s="186">
        <f t="shared" si="9"/>
        <v>171.93423224487771</v>
      </c>
      <c r="Q187" s="215">
        <f>IF(P187="-",0,P187/(1+'General inputs'!$H$30)^'MP Calculations'!$C$40)</f>
        <v>381.91561976669254</v>
      </c>
    </row>
    <row r="188" spans="3:17">
      <c r="C188" s="159"/>
      <c r="D188" s="165" t="s">
        <v>281</v>
      </c>
      <c r="E188" s="162">
        <v>28856</v>
      </c>
      <c r="F188" s="166" t="str">
        <f t="shared" si="7"/>
        <v>Date check - OK</v>
      </c>
      <c r="G188" s="68"/>
      <c r="H188" s="162" t="s">
        <v>293</v>
      </c>
      <c r="I188" s="173">
        <v>20414.77563211487</v>
      </c>
      <c r="J188" s="168">
        <f>IFERROR(MIN('MP Calculations'!$E$30/I188,1),"-")</f>
        <v>0.40513348981719682</v>
      </c>
      <c r="K188" s="12"/>
      <c r="L188" s="159">
        <v>25.384889000000001</v>
      </c>
      <c r="M188" s="187" t="s">
        <v>294</v>
      </c>
      <c r="N188" s="187">
        <v>192.78728599999999</v>
      </c>
      <c r="O188" s="186">
        <f t="shared" si="8"/>
        <v>4893.8838557212539</v>
      </c>
      <c r="P188" s="186">
        <f t="shared" si="9"/>
        <v>1982.6762452283906</v>
      </c>
      <c r="Q188" s="215">
        <f>IF(P188="-",0,P188/(1+'General inputs'!$H$30)^'MP Calculations'!$C$40)</f>
        <v>4404.096945130942</v>
      </c>
    </row>
    <row r="189" spans="3:17">
      <c r="C189" s="159"/>
      <c r="D189" s="165" t="s">
        <v>281</v>
      </c>
      <c r="E189" s="162">
        <v>28856</v>
      </c>
      <c r="F189" s="166" t="str">
        <f t="shared" si="7"/>
        <v>Date check - OK</v>
      </c>
      <c r="G189" s="68"/>
      <c r="H189" s="162" t="s">
        <v>293</v>
      </c>
      <c r="I189" s="173">
        <v>20414.77563211487</v>
      </c>
      <c r="J189" s="168">
        <f>IFERROR(MIN('MP Calculations'!$E$30/I189,1),"-")</f>
        <v>0.40513348981719682</v>
      </c>
      <c r="K189" s="12"/>
      <c r="L189" s="159">
        <v>249.56934200000001</v>
      </c>
      <c r="M189" s="187" t="s">
        <v>294</v>
      </c>
      <c r="N189" s="187">
        <v>192.78728599999999</v>
      </c>
      <c r="O189" s="186">
        <f t="shared" si="8"/>
        <v>48113.796112985809</v>
      </c>
      <c r="P189" s="186">
        <f t="shared" si="9"/>
        <v>19492.51012760702</v>
      </c>
      <c r="Q189" s="215">
        <f>IF(P189="-",0,P189/(1+'General inputs'!$H$30)^'MP Calculations'!$C$40)</f>
        <v>43298.498437418384</v>
      </c>
    </row>
    <row r="190" spans="3:17">
      <c r="C190" s="159"/>
      <c r="D190" s="165" t="s">
        <v>281</v>
      </c>
      <c r="E190" s="162">
        <v>28856</v>
      </c>
      <c r="F190" s="166" t="str">
        <f t="shared" si="7"/>
        <v>Date check - OK</v>
      </c>
      <c r="G190" s="68"/>
      <c r="H190" s="162" t="s">
        <v>293</v>
      </c>
      <c r="I190" s="173">
        <v>20414.77563211487</v>
      </c>
      <c r="J190" s="168">
        <f>IFERROR(MIN('MP Calculations'!$E$30/I190,1),"-")</f>
        <v>0.40513348981719682</v>
      </c>
      <c r="K190" s="12"/>
      <c r="L190" s="159">
        <v>3.9492129999999999</v>
      </c>
      <c r="M190" s="187" t="s">
        <v>294</v>
      </c>
      <c r="N190" s="187">
        <v>192.78728599999999</v>
      </c>
      <c r="O190" s="186">
        <f t="shared" si="8"/>
        <v>761.35805610591797</v>
      </c>
      <c r="P190" s="186">
        <f t="shared" si="9"/>
        <v>308.45164627062769</v>
      </c>
      <c r="Q190" s="215">
        <f>IF(P190="-",0,P190/(1+'General inputs'!$H$30)^'MP Calculations'!$C$40)</f>
        <v>685.16025061095991</v>
      </c>
    </row>
    <row r="191" spans="3:17">
      <c r="C191" s="159"/>
      <c r="D191" s="165" t="s">
        <v>281</v>
      </c>
      <c r="E191" s="162">
        <v>28856</v>
      </c>
      <c r="F191" s="166" t="str">
        <f t="shared" si="7"/>
        <v>Date check - OK</v>
      </c>
      <c r="G191" s="68"/>
      <c r="H191" s="162" t="s">
        <v>293</v>
      </c>
      <c r="I191" s="173">
        <v>20414.77563211487</v>
      </c>
      <c r="J191" s="168">
        <f>IFERROR(MIN('MP Calculations'!$E$30/I191,1),"-")</f>
        <v>0.40513348981719682</v>
      </c>
      <c r="K191" s="12"/>
      <c r="L191" s="159">
        <v>5.3868109999999998</v>
      </c>
      <c r="M191" s="187" t="s">
        <v>294</v>
      </c>
      <c r="N191" s="187">
        <v>192.78728599999999</v>
      </c>
      <c r="O191" s="186">
        <f t="shared" si="8"/>
        <v>1038.508672884946</v>
      </c>
      <c r="P191" s="186">
        <f t="shared" si="9"/>
        <v>420.73464285130387</v>
      </c>
      <c r="Q191" s="215">
        <f>IF(P191="-",0,P191/(1+'General inputs'!$H$30)^'MP Calculations'!$C$40)</f>
        <v>934.57323642808728</v>
      </c>
    </row>
    <row r="192" spans="3:17">
      <c r="C192" s="159"/>
      <c r="D192" s="165" t="s">
        <v>281</v>
      </c>
      <c r="E192" s="162">
        <v>28856</v>
      </c>
      <c r="F192" s="166" t="str">
        <f t="shared" si="7"/>
        <v>Date check - OK</v>
      </c>
      <c r="G192" s="68"/>
      <c r="H192" s="162" t="s">
        <v>293</v>
      </c>
      <c r="I192" s="173">
        <v>20414.77563211487</v>
      </c>
      <c r="J192" s="168">
        <f>IFERROR(MIN('MP Calculations'!$E$30/I192,1),"-")</f>
        <v>0.40513348981719682</v>
      </c>
      <c r="K192" s="12"/>
      <c r="L192" s="159">
        <v>391.36645900000002</v>
      </c>
      <c r="M192" s="187" t="s">
        <v>294</v>
      </c>
      <c r="N192" s="187">
        <v>192.78728599999999</v>
      </c>
      <c r="O192" s="186">
        <f t="shared" si="8"/>
        <v>75450.477462040275</v>
      </c>
      <c r="P192" s="186">
        <f t="shared" si="9"/>
        <v>30567.515242570131</v>
      </c>
      <c r="Q192" s="215">
        <f>IF(P192="-",0,P192/(1+'General inputs'!$H$30)^'MP Calculations'!$C$40)</f>
        <v>67899.285535919174</v>
      </c>
    </row>
    <row r="193" spans="3:17">
      <c r="C193" s="159"/>
      <c r="D193" s="165" t="s">
        <v>281</v>
      </c>
      <c r="E193" s="162">
        <v>28856</v>
      </c>
      <c r="F193" s="166" t="str">
        <f t="shared" si="7"/>
        <v>Date check - OK</v>
      </c>
      <c r="G193" s="68"/>
      <c r="H193" s="162" t="s">
        <v>293</v>
      </c>
      <c r="I193" s="173">
        <v>20414.77563211487</v>
      </c>
      <c r="J193" s="168">
        <f>IFERROR(MIN('MP Calculations'!$E$30/I193,1),"-")</f>
        <v>0.40513348981719682</v>
      </c>
      <c r="K193" s="12"/>
      <c r="L193" s="159">
        <v>3.1215480000000002</v>
      </c>
      <c r="M193" s="187" t="s">
        <v>294</v>
      </c>
      <c r="N193" s="187">
        <v>192.78728599999999</v>
      </c>
      <c r="O193" s="186">
        <f t="shared" si="8"/>
        <v>601.79476703872797</v>
      </c>
      <c r="P193" s="186">
        <f t="shared" si="9"/>
        <v>243.80721412412683</v>
      </c>
      <c r="Q193" s="215">
        <f>IF(P193="-",0,P193/(1+'General inputs'!$H$30)^'MP Calculations'!$C$40)</f>
        <v>541.56628421261166</v>
      </c>
    </row>
    <row r="194" spans="3:17">
      <c r="C194" s="159"/>
      <c r="D194" s="165" t="s">
        <v>281</v>
      </c>
      <c r="E194" s="162">
        <v>28856</v>
      </c>
      <c r="F194" s="166" t="str">
        <f t="shared" si="7"/>
        <v>Date check - OK</v>
      </c>
      <c r="G194" s="68"/>
      <c r="H194" s="162" t="s">
        <v>293</v>
      </c>
      <c r="I194" s="173">
        <v>20414.77563211487</v>
      </c>
      <c r="J194" s="168">
        <f>IFERROR(MIN('MP Calculations'!$E$30/I194,1),"-")</f>
        <v>0.40513348981719682</v>
      </c>
      <c r="K194" s="12"/>
      <c r="L194" s="159">
        <v>1.662336</v>
      </c>
      <c r="M194" s="187" t="s">
        <v>294</v>
      </c>
      <c r="N194" s="187">
        <v>192.78728599999999</v>
      </c>
      <c r="O194" s="186">
        <f t="shared" si="8"/>
        <v>320.47724586009599</v>
      </c>
      <c r="P194" s="186">
        <f t="shared" si="9"/>
        <v>129.8360650223045</v>
      </c>
      <c r="Q194" s="215">
        <f>IF(P194="-",0,P194/(1+'General inputs'!$H$30)^'MP Calculations'!$C$40)</f>
        <v>288.40342376053678</v>
      </c>
    </row>
    <row r="195" spans="3:17">
      <c r="C195" s="159"/>
      <c r="D195" s="165" t="s">
        <v>281</v>
      </c>
      <c r="E195" s="162">
        <v>28856</v>
      </c>
      <c r="F195" s="166" t="str">
        <f t="shared" si="7"/>
        <v>Date check - OK</v>
      </c>
      <c r="G195" s="68"/>
      <c r="H195" s="162" t="s">
        <v>293</v>
      </c>
      <c r="I195" s="173">
        <v>20414.77563211487</v>
      </c>
      <c r="J195" s="168">
        <f>IFERROR(MIN('MP Calculations'!$E$30/I195,1),"-")</f>
        <v>0.40513348981719682</v>
      </c>
      <c r="K195" s="12"/>
      <c r="L195" s="159">
        <v>146.16976500000001</v>
      </c>
      <c r="M195" s="187" t="s">
        <v>294</v>
      </c>
      <c r="N195" s="187">
        <v>192.78728599999999</v>
      </c>
      <c r="O195" s="186">
        <f t="shared" si="8"/>
        <v>28179.672289607792</v>
      </c>
      <c r="P195" s="186">
        <f t="shared" si="9"/>
        <v>11416.528976593761</v>
      </c>
      <c r="Q195" s="215">
        <f>IF(P195="-",0,P195/(1+'General inputs'!$H$30)^'MP Calculations'!$C$40)</f>
        <v>25359.410297480823</v>
      </c>
    </row>
    <row r="196" spans="3:17">
      <c r="C196" s="159"/>
      <c r="D196" s="165" t="s">
        <v>281</v>
      </c>
      <c r="E196" s="162">
        <v>28856</v>
      </c>
      <c r="F196" s="166" t="str">
        <f t="shared" si="7"/>
        <v>Date check - OK</v>
      </c>
      <c r="G196" s="68"/>
      <c r="H196" s="162" t="s">
        <v>293</v>
      </c>
      <c r="I196" s="173">
        <v>20414.77563211487</v>
      </c>
      <c r="J196" s="168">
        <f>IFERROR(MIN('MP Calculations'!$E$30/I196,1),"-")</f>
        <v>0.40513348981719682</v>
      </c>
      <c r="K196" s="12"/>
      <c r="L196" s="159">
        <v>62.148232</v>
      </c>
      <c r="M196" s="187" t="s">
        <v>294</v>
      </c>
      <c r="N196" s="187">
        <v>192.78728599999999</v>
      </c>
      <c r="O196" s="186">
        <f t="shared" si="8"/>
        <v>11981.388976978351</v>
      </c>
      <c r="P196" s="186">
        <f t="shared" si="9"/>
        <v>4854.0619291005332</v>
      </c>
      <c r="Q196" s="215">
        <f>IF(P196="-",0,P196/(1+'General inputs'!$H$30)^'MP Calculations'!$C$40)</f>
        <v>10782.274395467673</v>
      </c>
    </row>
    <row r="197" spans="3:17">
      <c r="C197" s="159"/>
      <c r="D197" s="165" t="s">
        <v>282</v>
      </c>
      <c r="E197" s="162">
        <v>28856</v>
      </c>
      <c r="F197" s="166" t="str">
        <f t="shared" si="7"/>
        <v>Date check - OK</v>
      </c>
      <c r="G197" s="68"/>
      <c r="H197" s="162" t="s">
        <v>293</v>
      </c>
      <c r="I197" s="173">
        <v>20414.77563211487</v>
      </c>
      <c r="J197" s="168">
        <f>IFERROR(MIN('MP Calculations'!$E$30/I197,1),"-")</f>
        <v>0.40513348981719682</v>
      </c>
      <c r="K197" s="12"/>
      <c r="L197" s="159">
        <v>530.06198900000004</v>
      </c>
      <c r="M197" s="187" t="s">
        <v>294</v>
      </c>
      <c r="N197" s="187">
        <v>237.97403299999999</v>
      </c>
      <c r="O197" s="186">
        <f t="shared" si="8"/>
        <v>126140.98926233164</v>
      </c>
      <c r="P197" s="186">
        <f t="shared" si="9"/>
        <v>51103.93918884197</v>
      </c>
      <c r="Q197" s="215">
        <f>IF(P197="-",0,P197/(1+'General inputs'!$H$30)^'MP Calculations'!$C$40)</f>
        <v>113516.61826150048</v>
      </c>
    </row>
    <row r="198" spans="3:17">
      <c r="C198" s="159"/>
      <c r="D198" s="165" t="s">
        <v>281</v>
      </c>
      <c r="E198" s="162">
        <v>28856</v>
      </c>
      <c r="F198" s="166" t="str">
        <f t="shared" si="7"/>
        <v>Date check - OK</v>
      </c>
      <c r="G198" s="68"/>
      <c r="H198" s="162" t="s">
        <v>293</v>
      </c>
      <c r="I198" s="173">
        <v>20414.77563211487</v>
      </c>
      <c r="J198" s="168">
        <f>IFERROR(MIN('MP Calculations'!$E$30/I198,1),"-")</f>
        <v>0.40513348981719682</v>
      </c>
      <c r="K198" s="12"/>
      <c r="L198" s="159">
        <v>1.165958</v>
      </c>
      <c r="M198" s="187" t="s">
        <v>294</v>
      </c>
      <c r="N198" s="187">
        <v>192.78728599999999</v>
      </c>
      <c r="O198" s="186">
        <f t="shared" si="8"/>
        <v>224.781878409988</v>
      </c>
      <c r="P198" s="186">
        <f t="shared" si="9"/>
        <v>91.06666684790325</v>
      </c>
      <c r="Q198" s="215">
        <f>IF(P198="-",0,P198/(1+'General inputs'!$H$30)^'MP Calculations'!$C$40)</f>
        <v>202.28538584316766</v>
      </c>
    </row>
    <row r="199" spans="3:17">
      <c r="C199" s="159"/>
      <c r="D199" s="165" t="s">
        <v>281</v>
      </c>
      <c r="E199" s="162">
        <v>28856</v>
      </c>
      <c r="F199" s="166" t="str">
        <f t="shared" si="7"/>
        <v>Date check - OK</v>
      </c>
      <c r="G199" s="68"/>
      <c r="H199" s="162" t="s">
        <v>293</v>
      </c>
      <c r="I199" s="173">
        <v>20414.77563211487</v>
      </c>
      <c r="J199" s="168">
        <f>IFERROR(MIN('MP Calculations'!$E$30/I199,1),"-")</f>
        <v>0.40513348981719682</v>
      </c>
      <c r="K199" s="12"/>
      <c r="L199" s="159">
        <v>177.67062799999999</v>
      </c>
      <c r="M199" s="187" t="s">
        <v>294</v>
      </c>
      <c r="N199" s="187">
        <v>192.78728599999999</v>
      </c>
      <c r="O199" s="186">
        <f t="shared" si="8"/>
        <v>34252.638174035608</v>
      </c>
      <c r="P199" s="186">
        <f t="shared" si="9"/>
        <v>13876.890838892783</v>
      </c>
      <c r="Q199" s="215">
        <f>IF(P199="-",0,P199/(1+'General inputs'!$H$30)^'MP Calculations'!$C$40)</f>
        <v>30824.585051929753</v>
      </c>
    </row>
    <row r="200" spans="3:17">
      <c r="C200" s="159"/>
      <c r="D200" s="165" t="s">
        <v>281</v>
      </c>
      <c r="E200" s="162">
        <v>28856</v>
      </c>
      <c r="F200" s="166" t="str">
        <f t="shared" si="7"/>
        <v>Date check - OK</v>
      </c>
      <c r="G200" s="68"/>
      <c r="H200" s="162" t="s">
        <v>293</v>
      </c>
      <c r="I200" s="173">
        <v>20414.77563211487</v>
      </c>
      <c r="J200" s="168">
        <f>IFERROR(MIN('MP Calculations'!$E$30/I200,1),"-")</f>
        <v>0.40513348981719682</v>
      </c>
      <c r="K200" s="12"/>
      <c r="L200" s="159">
        <v>85.200130999999999</v>
      </c>
      <c r="M200" s="187" t="s">
        <v>294</v>
      </c>
      <c r="N200" s="187">
        <v>192.78728599999999</v>
      </c>
      <c r="O200" s="186">
        <f t="shared" si="8"/>
        <v>16425.502022334465</v>
      </c>
      <c r="P200" s="186">
        <f t="shared" si="9"/>
        <v>6654.520956307786</v>
      </c>
      <c r="Q200" s="215">
        <f>IF(P200="-",0,P200/(1+'General inputs'!$H$30)^'MP Calculations'!$C$40)</f>
        <v>14781.614237582682</v>
      </c>
    </row>
    <row r="201" spans="3:17">
      <c r="C201" s="159"/>
      <c r="D201" s="165" t="s">
        <v>281</v>
      </c>
      <c r="E201" s="162">
        <v>28856</v>
      </c>
      <c r="F201" s="166" t="str">
        <f t="shared" si="7"/>
        <v>Date check - OK</v>
      </c>
      <c r="G201" s="68"/>
      <c r="H201" s="162" t="s">
        <v>293</v>
      </c>
      <c r="I201" s="173">
        <v>20414.77563211487</v>
      </c>
      <c r="J201" s="168">
        <f>IFERROR(MIN('MP Calculations'!$E$30/I201,1),"-")</f>
        <v>0.40513348981719682</v>
      </c>
      <c r="K201" s="12"/>
      <c r="L201" s="159">
        <v>318.27013899999997</v>
      </c>
      <c r="M201" s="187" t="s">
        <v>294</v>
      </c>
      <c r="N201" s="187">
        <v>192.78728599999999</v>
      </c>
      <c r="O201" s="186">
        <f t="shared" si="8"/>
        <v>61358.436312652746</v>
      </c>
      <c r="P201" s="186">
        <f t="shared" si="9"/>
        <v>24858.357433071222</v>
      </c>
      <c r="Q201" s="215">
        <f>IF(P201="-",0,P201/(1+'General inputs'!$H$30)^'MP Calculations'!$C$40)</f>
        <v>55217.596062614255</v>
      </c>
    </row>
    <row r="202" spans="3:17">
      <c r="C202" s="159"/>
      <c r="D202" s="165" t="s">
        <v>281</v>
      </c>
      <c r="E202" s="162">
        <v>28856</v>
      </c>
      <c r="F202" s="166" t="str">
        <f t="shared" si="7"/>
        <v>Date check - OK</v>
      </c>
      <c r="G202" s="68"/>
      <c r="H202" s="162" t="s">
        <v>293</v>
      </c>
      <c r="I202" s="173">
        <v>20414.77563211487</v>
      </c>
      <c r="J202" s="168">
        <f>IFERROR(MIN('MP Calculations'!$E$30/I202,1),"-")</f>
        <v>0.40513348981719682</v>
      </c>
      <c r="K202" s="12"/>
      <c r="L202" s="159">
        <v>211.04688999999999</v>
      </c>
      <c r="M202" s="187" t="s">
        <v>294</v>
      </c>
      <c r="N202" s="187">
        <v>192.78728599999999</v>
      </c>
      <c r="O202" s="186">
        <f t="shared" si="8"/>
        <v>40687.157141840536</v>
      </c>
      <c r="P202" s="186">
        <f t="shared" si="9"/>
        <v>16483.72996361454</v>
      </c>
      <c r="Q202" s="215">
        <f>IF(P202="-",0,P202/(1+'General inputs'!$H$30)^'MP Calculations'!$C$40)</f>
        <v>36615.128138964319</v>
      </c>
    </row>
    <row r="203" spans="3:17">
      <c r="C203" s="159"/>
      <c r="D203" s="165" t="s">
        <v>282</v>
      </c>
      <c r="E203" s="162">
        <v>28856</v>
      </c>
      <c r="F203" s="166" t="str">
        <f t="shared" si="7"/>
        <v>Date check - OK</v>
      </c>
      <c r="G203" s="68"/>
      <c r="H203" s="162" t="s">
        <v>293</v>
      </c>
      <c r="I203" s="173">
        <v>20414.77563211487</v>
      </c>
      <c r="J203" s="168">
        <f>IFERROR(MIN('MP Calculations'!$E$30/I203,1),"-")</f>
        <v>0.40513348981719682</v>
      </c>
      <c r="K203" s="12"/>
      <c r="L203" s="159">
        <v>2.286127</v>
      </c>
      <c r="M203" s="187" t="s">
        <v>294</v>
      </c>
      <c r="N203" s="187">
        <v>237.97403299999999</v>
      </c>
      <c r="O203" s="186">
        <f t="shared" si="8"/>
        <v>544.03886214019099</v>
      </c>
      <c r="P203" s="186">
        <f t="shared" si="9"/>
        <v>220.4083628150324</v>
      </c>
      <c r="Q203" s="215">
        <f>IF(P203="-",0,P203/(1+'General inputs'!$H$30)^'MP Calculations'!$C$40)</f>
        <v>489.59067305674938</v>
      </c>
    </row>
    <row r="204" spans="3:17">
      <c r="C204" s="159"/>
      <c r="D204" s="165" t="s">
        <v>281</v>
      </c>
      <c r="E204" s="162">
        <v>28856</v>
      </c>
      <c r="F204" s="166" t="str">
        <f t="shared" si="7"/>
        <v>Date check - OK</v>
      </c>
      <c r="G204" s="68"/>
      <c r="H204" s="162" t="s">
        <v>293</v>
      </c>
      <c r="I204" s="173">
        <v>20414.77563211487</v>
      </c>
      <c r="J204" s="168">
        <f>IFERROR(MIN('MP Calculations'!$E$30/I204,1),"-")</f>
        <v>0.40513348981719682</v>
      </c>
      <c r="K204" s="12"/>
      <c r="L204" s="159">
        <v>39.077446999999999</v>
      </c>
      <c r="M204" s="187" t="s">
        <v>294</v>
      </c>
      <c r="N204" s="187">
        <v>192.78728599999999</v>
      </c>
      <c r="O204" s="186">
        <f t="shared" si="8"/>
        <v>7533.6349509388419</v>
      </c>
      <c r="P204" s="186">
        <f t="shared" si="9"/>
        <v>3052.1278186826594</v>
      </c>
      <c r="Q204" s="215">
        <f>IF(P204="-",0,P204/(1+'General inputs'!$H$30)^'MP Calculations'!$C$40)</f>
        <v>6779.6579672346124</v>
      </c>
    </row>
    <row r="205" spans="3:17">
      <c r="C205" s="159"/>
      <c r="D205" s="165" t="s">
        <v>282</v>
      </c>
      <c r="E205" s="162">
        <v>28856</v>
      </c>
      <c r="F205" s="166" t="str">
        <f t="shared" si="7"/>
        <v>Date check - OK</v>
      </c>
      <c r="G205" s="68"/>
      <c r="H205" s="162" t="s">
        <v>293</v>
      </c>
      <c r="I205" s="173">
        <v>20414.77563211487</v>
      </c>
      <c r="J205" s="168">
        <f>IFERROR(MIN('MP Calculations'!$E$30/I205,1),"-")</f>
        <v>0.40513348981719682</v>
      </c>
      <c r="K205" s="12"/>
      <c r="L205" s="159">
        <v>151.593175</v>
      </c>
      <c r="M205" s="187" t="s">
        <v>294</v>
      </c>
      <c r="N205" s="187">
        <v>237.97403299999999</v>
      </c>
      <c r="O205" s="186">
        <f t="shared" si="8"/>
        <v>36075.239230024774</v>
      </c>
      <c r="P205" s="186">
        <f t="shared" si="9"/>
        <v>14615.287565250181</v>
      </c>
      <c r="Q205" s="215">
        <f>IF(P205="-",0,P205/(1+'General inputs'!$H$30)^'MP Calculations'!$C$40)</f>
        <v>32464.777581936432</v>
      </c>
    </row>
    <row r="206" spans="3:17">
      <c r="C206" s="159"/>
      <c r="D206" s="165" t="s">
        <v>281</v>
      </c>
      <c r="E206" s="162">
        <v>28856</v>
      </c>
      <c r="F206" s="166" t="str">
        <f t="shared" si="7"/>
        <v>Date check - OK</v>
      </c>
      <c r="G206" s="68"/>
      <c r="H206" s="162" t="s">
        <v>293</v>
      </c>
      <c r="I206" s="173">
        <v>20414.77563211487</v>
      </c>
      <c r="J206" s="168">
        <f>IFERROR(MIN('MP Calculations'!$E$30/I206,1),"-")</f>
        <v>0.40513348981719682</v>
      </c>
      <c r="K206" s="12"/>
      <c r="L206" s="159">
        <v>256.51083299999999</v>
      </c>
      <c r="M206" s="187" t="s">
        <v>294</v>
      </c>
      <c r="N206" s="187">
        <v>192.78728599999999</v>
      </c>
      <c r="O206" s="186">
        <f t="shared" si="8"/>
        <v>49452.027323669237</v>
      </c>
      <c r="P206" s="186">
        <f t="shared" si="9"/>
        <v>20034.67240817349</v>
      </c>
      <c r="Q206" s="215">
        <f>IF(P206="-",0,P206/(1+'General inputs'!$H$30)^'MP Calculations'!$C$40)</f>
        <v>44502.797550475523</v>
      </c>
    </row>
    <row r="207" spans="3:17">
      <c r="C207" s="159"/>
      <c r="D207" s="165" t="s">
        <v>281</v>
      </c>
      <c r="E207" s="162">
        <v>28856</v>
      </c>
      <c r="F207" s="166" t="str">
        <f t="shared" si="7"/>
        <v>Date check - OK</v>
      </c>
      <c r="G207" s="68"/>
      <c r="H207" s="162" t="s">
        <v>293</v>
      </c>
      <c r="I207" s="173">
        <v>20414.77563211487</v>
      </c>
      <c r="J207" s="168">
        <f>IFERROR(MIN('MP Calculations'!$E$30/I207,1),"-")</f>
        <v>0.40513348981719682</v>
      </c>
      <c r="K207" s="12"/>
      <c r="L207" s="159">
        <v>149.13441</v>
      </c>
      <c r="M207" s="187" t="s">
        <v>294</v>
      </c>
      <c r="N207" s="187">
        <v>192.78728599999999</v>
      </c>
      <c r="O207" s="186">
        <f t="shared" si="8"/>
        <v>28751.218153111258</v>
      </c>
      <c r="P207" s="186">
        <f t="shared" si="9"/>
        <v>11648.081346865505</v>
      </c>
      <c r="Q207" s="215">
        <f>IF(P207="-",0,P207/(1+'General inputs'!$H$30)^'MP Calculations'!$C$40)</f>
        <v>25873.755031779157</v>
      </c>
    </row>
    <row r="208" spans="3:17">
      <c r="C208" s="159"/>
      <c r="D208" s="165" t="s">
        <v>282</v>
      </c>
      <c r="E208" s="162">
        <v>28856</v>
      </c>
      <c r="F208" s="166" t="str">
        <f t="shared" si="7"/>
        <v>Date check - OK</v>
      </c>
      <c r="G208" s="68"/>
      <c r="H208" s="162" t="s">
        <v>293</v>
      </c>
      <c r="I208" s="173">
        <v>20414.77563211487</v>
      </c>
      <c r="J208" s="168">
        <f>IFERROR(MIN('MP Calculations'!$E$30/I208,1),"-")</f>
        <v>0.40513348981719682</v>
      </c>
      <c r="K208" s="12"/>
      <c r="L208" s="159">
        <v>119.873287</v>
      </c>
      <c r="M208" s="187" t="s">
        <v>294</v>
      </c>
      <c r="N208" s="187">
        <v>237.97403299999999</v>
      </c>
      <c r="O208" s="186">
        <f t="shared" si="8"/>
        <v>28526.729556356469</v>
      </c>
      <c r="P208" s="186">
        <f t="shared" si="9"/>
        <v>11557.133498238072</v>
      </c>
      <c r="Q208" s="215">
        <f>IF(P208="-",0,P208/(1+'General inputs'!$H$30)^'MP Calculations'!$C$40)</f>
        <v>25671.733575542781</v>
      </c>
    </row>
    <row r="209" spans="3:17">
      <c r="C209" s="159"/>
      <c r="D209" s="165" t="s">
        <v>281</v>
      </c>
      <c r="E209" s="162">
        <v>28856</v>
      </c>
      <c r="F209" s="166" t="str">
        <f t="shared" si="7"/>
        <v>Date check - OK</v>
      </c>
      <c r="G209" s="68"/>
      <c r="H209" s="162" t="s">
        <v>293</v>
      </c>
      <c r="I209" s="173">
        <v>20414.77563211487</v>
      </c>
      <c r="J209" s="168">
        <f>IFERROR(MIN('MP Calculations'!$E$30/I209,1),"-")</f>
        <v>0.40513348981719682</v>
      </c>
      <c r="K209" s="12"/>
      <c r="L209" s="159">
        <v>38.825111</v>
      </c>
      <c r="M209" s="187" t="s">
        <v>294</v>
      </c>
      <c r="N209" s="187">
        <v>192.78728599999999</v>
      </c>
      <c r="O209" s="186">
        <f t="shared" si="8"/>
        <v>7484.9877783387456</v>
      </c>
      <c r="P209" s="186">
        <f t="shared" si="9"/>
        <v>3032.4192198774426</v>
      </c>
      <c r="Q209" s="215">
        <f>IF(P209="-",0,P209/(1+'General inputs'!$H$30)^'MP Calculations'!$C$40)</f>
        <v>6735.879473393391</v>
      </c>
    </row>
    <row r="210" spans="3:17">
      <c r="C210" s="159"/>
      <c r="D210" s="165" t="s">
        <v>281</v>
      </c>
      <c r="E210" s="162">
        <v>28856</v>
      </c>
      <c r="F210" s="166" t="str">
        <f t="shared" si="7"/>
        <v>Date check - OK</v>
      </c>
      <c r="G210" s="68"/>
      <c r="H210" s="162" t="s">
        <v>293</v>
      </c>
      <c r="I210" s="173">
        <v>20414.77563211487</v>
      </c>
      <c r="J210" s="168">
        <f>IFERROR(MIN('MP Calculations'!$E$30/I210,1),"-")</f>
        <v>0.40513348981719682</v>
      </c>
      <c r="K210" s="12"/>
      <c r="L210" s="159">
        <v>145.027894</v>
      </c>
      <c r="M210" s="187" t="s">
        <v>294</v>
      </c>
      <c r="N210" s="187">
        <v>192.78728599999999</v>
      </c>
      <c r="O210" s="186">
        <f t="shared" si="8"/>
        <v>27959.534078555684</v>
      </c>
      <c r="P210" s="186">
        <f t="shared" si="9"/>
        <v>11327.343614908106</v>
      </c>
      <c r="Q210" s="215">
        <f>IF(P210="-",0,P210/(1+'General inputs'!$H$30)^'MP Calculations'!$C$40)</f>
        <v>25161.303834110677</v>
      </c>
    </row>
    <row r="211" spans="3:17">
      <c r="C211" s="159"/>
      <c r="D211" s="165" t="s">
        <v>282</v>
      </c>
      <c r="E211" s="162">
        <v>28856</v>
      </c>
      <c r="F211" s="166" t="str">
        <f t="shared" si="7"/>
        <v>Date check - OK</v>
      </c>
      <c r="G211" s="68"/>
      <c r="H211" s="162" t="s">
        <v>293</v>
      </c>
      <c r="I211" s="173">
        <v>20414.77563211487</v>
      </c>
      <c r="J211" s="168">
        <f>IFERROR(MIN('MP Calculations'!$E$30/I211,1),"-")</f>
        <v>0.40513348981719682</v>
      </c>
      <c r="K211" s="12"/>
      <c r="L211" s="159">
        <v>40.117463999999998</v>
      </c>
      <c r="M211" s="187" t="s">
        <v>294</v>
      </c>
      <c r="N211" s="187">
        <v>237.97403299999999</v>
      </c>
      <c r="O211" s="186">
        <f t="shared" si="8"/>
        <v>9546.9147018123113</v>
      </c>
      <c r="P211" s="186">
        <f t="shared" si="9"/>
        <v>3867.7748701323248</v>
      </c>
      <c r="Q211" s="215">
        <f>IF(P211="-",0,P211/(1+'General inputs'!$H$30)^'MP Calculations'!$C$40)</f>
        <v>8591.4457950454689</v>
      </c>
    </row>
    <row r="212" spans="3:17">
      <c r="C212" s="159"/>
      <c r="D212" s="165" t="s">
        <v>281</v>
      </c>
      <c r="E212" s="162">
        <v>28856</v>
      </c>
      <c r="F212" s="166" t="str">
        <f t="shared" si="7"/>
        <v>Date check - OK</v>
      </c>
      <c r="G212" s="68"/>
      <c r="H212" s="162" t="s">
        <v>293</v>
      </c>
      <c r="I212" s="173">
        <v>20414.77563211487</v>
      </c>
      <c r="J212" s="168">
        <f>IFERROR(MIN('MP Calculations'!$E$30/I212,1),"-")</f>
        <v>0.40513348981719682</v>
      </c>
      <c r="K212" s="12"/>
      <c r="L212" s="159">
        <v>421.292371</v>
      </c>
      <c r="M212" s="187" t="s">
        <v>294</v>
      </c>
      <c r="N212" s="187">
        <v>192.78728599999999</v>
      </c>
      <c r="O212" s="186">
        <f t="shared" si="8"/>
        <v>81219.812817595099</v>
      </c>
      <c r="P212" s="186">
        <f t="shared" si="9"/>
        <v>32904.866209091793</v>
      </c>
      <c r="Q212" s="215">
        <f>IF(P212="-",0,P212/(1+'General inputs'!$H$30)^'MP Calculations'!$C$40)</f>
        <v>73091.217540012527</v>
      </c>
    </row>
    <row r="213" spans="3:17">
      <c r="C213" s="159"/>
      <c r="D213" s="165" t="s">
        <v>282</v>
      </c>
      <c r="E213" s="162">
        <v>28856</v>
      </c>
      <c r="F213" s="166" t="str">
        <f t="shared" si="7"/>
        <v>Date check - OK</v>
      </c>
      <c r="G213" s="68"/>
      <c r="H213" s="162" t="s">
        <v>293</v>
      </c>
      <c r="I213" s="173">
        <v>20414.77563211487</v>
      </c>
      <c r="J213" s="168">
        <f>IFERROR(MIN('MP Calculations'!$E$30/I213,1),"-")</f>
        <v>0.40513348981719682</v>
      </c>
      <c r="K213" s="12"/>
      <c r="L213" s="159">
        <v>61.057308999999997</v>
      </c>
      <c r="M213" s="187" t="s">
        <v>294</v>
      </c>
      <c r="N213" s="187">
        <v>237.97403299999999</v>
      </c>
      <c r="O213" s="186">
        <f t="shared" si="8"/>
        <v>14530.054066857196</v>
      </c>
      <c r="P213" s="186">
        <f t="shared" si="9"/>
        <v>5886.6115113384094</v>
      </c>
      <c r="Q213" s="215">
        <f>IF(P213="-",0,P213/(1+'General inputs'!$H$30)^'MP Calculations'!$C$40)</f>
        <v>13075.865430198726</v>
      </c>
    </row>
    <row r="214" spans="3:17">
      <c r="C214" s="159"/>
      <c r="D214" s="165" t="s">
        <v>282</v>
      </c>
      <c r="E214" s="162">
        <v>28856</v>
      </c>
      <c r="F214" s="166" t="str">
        <f t="shared" si="7"/>
        <v>Date check - OK</v>
      </c>
      <c r="G214" s="68"/>
      <c r="H214" s="162" t="s">
        <v>293</v>
      </c>
      <c r="I214" s="173">
        <v>20414.77563211487</v>
      </c>
      <c r="J214" s="168">
        <f>IFERROR(MIN('MP Calculations'!$E$30/I214,1),"-")</f>
        <v>0.40513348981719682</v>
      </c>
      <c r="K214" s="12"/>
      <c r="L214" s="159">
        <v>59.332299999999996</v>
      </c>
      <c r="M214" s="187" t="s">
        <v>294</v>
      </c>
      <c r="N214" s="187">
        <v>237.97403299999999</v>
      </c>
      <c r="O214" s="186">
        <f t="shared" si="8"/>
        <v>14119.546718165899</v>
      </c>
      <c r="P214" s="186">
        <f t="shared" si="9"/>
        <v>5720.3012365674986</v>
      </c>
      <c r="Q214" s="215">
        <f>IF(P214="-",0,P214/(1+'General inputs'!$H$30)^'MP Calculations'!$C$40)</f>
        <v>12706.44224533675</v>
      </c>
    </row>
    <row r="215" spans="3:17">
      <c r="C215" s="159"/>
      <c r="D215" s="165" t="s">
        <v>282</v>
      </c>
      <c r="E215" s="162">
        <v>28856</v>
      </c>
      <c r="F215" s="166" t="str">
        <f t="shared" ref="F215:F278" si="10">IF(E215="","-",IF(OR(E215&lt;$E$15,E215&gt;$E$16),"ERROR - date outside of range","Date check - OK"))</f>
        <v>Date check - OK</v>
      </c>
      <c r="G215" s="68"/>
      <c r="H215" s="162" t="s">
        <v>293</v>
      </c>
      <c r="I215" s="173">
        <v>20414.77563211487</v>
      </c>
      <c r="J215" s="168">
        <f>IFERROR(MIN('MP Calculations'!$E$30/I215,1),"-")</f>
        <v>0.40513348981719682</v>
      </c>
      <c r="K215" s="12"/>
      <c r="L215" s="159">
        <v>122.159879</v>
      </c>
      <c r="M215" s="187" t="s">
        <v>294</v>
      </c>
      <c r="N215" s="187">
        <v>237.97403299999999</v>
      </c>
      <c r="O215" s="186">
        <f t="shared" ref="O215:O278" si="11">IF(N215="","-",L215*N215)</f>
        <v>29070.879076422007</v>
      </c>
      <c r="P215" s="186">
        <f t="shared" ref="P215:P278" si="12">IF(O215="-","-",IF(OR(E215&lt;$E$15,E215&gt;$E$16),0,O215*J215))</f>
        <v>11777.586692284574</v>
      </c>
      <c r="Q215" s="215">
        <f>IF(P215="-",0,P215/(1+'General inputs'!$H$30)^'MP Calculations'!$C$40)</f>
        <v>26161.423831721098</v>
      </c>
    </row>
    <row r="216" spans="3:17">
      <c r="C216" s="159"/>
      <c r="D216" s="165" t="s">
        <v>282</v>
      </c>
      <c r="E216" s="162">
        <v>28856</v>
      </c>
      <c r="F216" s="166" t="str">
        <f t="shared" si="10"/>
        <v>Date check - OK</v>
      </c>
      <c r="G216" s="68"/>
      <c r="H216" s="162" t="s">
        <v>293</v>
      </c>
      <c r="I216" s="173">
        <v>20414.77563211487</v>
      </c>
      <c r="J216" s="168">
        <f>IFERROR(MIN('MP Calculations'!$E$30/I216,1),"-")</f>
        <v>0.40513348981719682</v>
      </c>
      <c r="K216" s="12"/>
      <c r="L216" s="159">
        <v>115.112996</v>
      </c>
      <c r="M216" s="187" t="s">
        <v>294</v>
      </c>
      <c r="N216" s="187">
        <v>237.97403299999999</v>
      </c>
      <c r="O216" s="186">
        <f t="shared" si="11"/>
        <v>27393.903908832865</v>
      </c>
      <c r="P216" s="186">
        <f t="shared" si="12"/>
        <v>11098.187890302408</v>
      </c>
      <c r="Q216" s="215">
        <f>IF(P216="-",0,P216/(1+'General inputs'!$H$30)^'MP Calculations'!$C$40)</f>
        <v>24652.28274248058</v>
      </c>
    </row>
    <row r="217" spans="3:17">
      <c r="C217" s="159"/>
      <c r="D217" s="165" t="s">
        <v>282</v>
      </c>
      <c r="E217" s="162">
        <v>28856</v>
      </c>
      <c r="F217" s="166" t="str">
        <f t="shared" si="10"/>
        <v>Date check - OK</v>
      </c>
      <c r="G217" s="68"/>
      <c r="H217" s="162" t="s">
        <v>293</v>
      </c>
      <c r="I217" s="173">
        <v>20414.77563211487</v>
      </c>
      <c r="J217" s="168">
        <f>IFERROR(MIN('MP Calculations'!$E$30/I217,1),"-")</f>
        <v>0.40513348981719682</v>
      </c>
      <c r="K217" s="12"/>
      <c r="L217" s="159">
        <v>355.82204200000001</v>
      </c>
      <c r="M217" s="187" t="s">
        <v>294</v>
      </c>
      <c r="N217" s="187">
        <v>237.97403299999999</v>
      </c>
      <c r="O217" s="186">
        <f t="shared" si="11"/>
        <v>84676.406365035378</v>
      </c>
      <c r="P217" s="186">
        <f t="shared" si="12"/>
        <v>34305.248015845878</v>
      </c>
      <c r="Q217" s="215">
        <f>IF(P217="-",0,P217/(1+'General inputs'!$H$30)^'MP Calculations'!$C$40)</f>
        <v>76201.87025095585</v>
      </c>
    </row>
    <row r="218" spans="3:17">
      <c r="C218" s="159"/>
      <c r="D218" s="165" t="s">
        <v>282</v>
      </c>
      <c r="E218" s="162">
        <v>28856</v>
      </c>
      <c r="F218" s="166" t="str">
        <f t="shared" si="10"/>
        <v>Date check - OK</v>
      </c>
      <c r="G218" s="68"/>
      <c r="H218" s="162" t="s">
        <v>293</v>
      </c>
      <c r="I218" s="173">
        <v>20414.77563211487</v>
      </c>
      <c r="J218" s="168">
        <f>IFERROR(MIN('MP Calculations'!$E$30/I218,1),"-")</f>
        <v>0.40513348981719682</v>
      </c>
      <c r="K218" s="12"/>
      <c r="L218" s="159">
        <v>2.1200399999999999</v>
      </c>
      <c r="M218" s="187" t="s">
        <v>294</v>
      </c>
      <c r="N218" s="187">
        <v>237.97403299999999</v>
      </c>
      <c r="O218" s="186">
        <f t="shared" si="11"/>
        <v>504.51446892131997</v>
      </c>
      <c r="P218" s="186">
        <f t="shared" si="12"/>
        <v>204.39570745736404</v>
      </c>
      <c r="Q218" s="215">
        <f>IF(P218="-",0,P218/(1+'General inputs'!$H$30)^'MP Calculations'!$C$40)</f>
        <v>454.02193776077661</v>
      </c>
    </row>
    <row r="219" spans="3:17">
      <c r="C219" s="159"/>
      <c r="D219" s="165" t="s">
        <v>282</v>
      </c>
      <c r="E219" s="162">
        <v>28856</v>
      </c>
      <c r="F219" s="166" t="str">
        <f t="shared" si="10"/>
        <v>Date check - OK</v>
      </c>
      <c r="G219" s="68"/>
      <c r="H219" s="162" t="s">
        <v>293</v>
      </c>
      <c r="I219" s="173">
        <v>20414.77563211487</v>
      </c>
      <c r="J219" s="168">
        <f>IFERROR(MIN('MP Calculations'!$E$30/I219,1),"-")</f>
        <v>0.40513348981719682</v>
      </c>
      <c r="K219" s="12"/>
      <c r="L219" s="159">
        <v>72.530182999999994</v>
      </c>
      <c r="M219" s="187" t="s">
        <v>294</v>
      </c>
      <c r="N219" s="187">
        <v>237.97403299999999</v>
      </c>
      <c r="O219" s="186">
        <f t="shared" si="11"/>
        <v>17260.300162738036</v>
      </c>
      <c r="P219" s="186">
        <f t="shared" si="12"/>
        <v>6992.7256402223911</v>
      </c>
      <c r="Q219" s="215">
        <f>IF(P219="-",0,P219/(1+'General inputs'!$H$30)^'MP Calculations'!$C$40)</f>
        <v>15532.864583594524</v>
      </c>
    </row>
    <row r="220" spans="3:17">
      <c r="C220" s="159"/>
      <c r="D220" s="165" t="s">
        <v>282</v>
      </c>
      <c r="E220" s="162">
        <v>28856</v>
      </c>
      <c r="F220" s="166" t="str">
        <f t="shared" si="10"/>
        <v>Date check - OK</v>
      </c>
      <c r="G220" s="68"/>
      <c r="H220" s="162" t="s">
        <v>293</v>
      </c>
      <c r="I220" s="173">
        <v>20414.77563211487</v>
      </c>
      <c r="J220" s="168">
        <f>IFERROR(MIN('MP Calculations'!$E$30/I220,1),"-")</f>
        <v>0.40513348981719682</v>
      </c>
      <c r="K220" s="12"/>
      <c r="L220" s="159">
        <v>281.43434500000001</v>
      </c>
      <c r="M220" s="187" t="s">
        <v>294</v>
      </c>
      <c r="N220" s="187">
        <v>237.97403299999999</v>
      </c>
      <c r="O220" s="186">
        <f t="shared" si="11"/>
        <v>66974.066104363388</v>
      </c>
      <c r="P220" s="186">
        <f t="shared" si="12"/>
        <v>27133.437128108373</v>
      </c>
      <c r="Q220" s="215">
        <f>IF(P220="-",0,P220/(1+'General inputs'!$H$30)^'MP Calculations'!$C$40)</f>
        <v>60271.205575996188</v>
      </c>
    </row>
    <row r="221" spans="3:17">
      <c r="C221" s="159"/>
      <c r="D221" s="165" t="s">
        <v>282</v>
      </c>
      <c r="E221" s="162">
        <v>28856</v>
      </c>
      <c r="F221" s="166" t="str">
        <f t="shared" si="10"/>
        <v>Date check - OK</v>
      </c>
      <c r="G221" s="68"/>
      <c r="H221" s="162" t="s">
        <v>293</v>
      </c>
      <c r="I221" s="173">
        <v>20414.77563211487</v>
      </c>
      <c r="J221" s="168">
        <f>IFERROR(MIN('MP Calculations'!$E$30/I221,1),"-")</f>
        <v>0.40513348981719682</v>
      </c>
      <c r="K221" s="12"/>
      <c r="L221" s="159">
        <v>0.235648</v>
      </c>
      <c r="M221" s="187" t="s">
        <v>294</v>
      </c>
      <c r="N221" s="187">
        <v>237.97403299999999</v>
      </c>
      <c r="O221" s="186">
        <f t="shared" si="11"/>
        <v>56.078104928384001</v>
      </c>
      <c r="P221" s="186">
        <f t="shared" si="12"/>
        <v>22.719118351971154</v>
      </c>
      <c r="Q221" s="215">
        <f>IF(P221="-",0,P221/(1+'General inputs'!$H$30)^'MP Calculations'!$C$40)</f>
        <v>50.465727811480676</v>
      </c>
    </row>
    <row r="222" spans="3:17">
      <c r="C222" s="159"/>
      <c r="D222" s="165" t="s">
        <v>282</v>
      </c>
      <c r="E222" s="162">
        <v>28856</v>
      </c>
      <c r="F222" s="166" t="str">
        <f t="shared" si="10"/>
        <v>Date check - OK</v>
      </c>
      <c r="G222" s="68"/>
      <c r="H222" s="162" t="s">
        <v>293</v>
      </c>
      <c r="I222" s="173">
        <v>20414.77563211487</v>
      </c>
      <c r="J222" s="168">
        <f>IFERROR(MIN('MP Calculations'!$E$30/I222,1),"-")</f>
        <v>0.40513348981719682</v>
      </c>
      <c r="K222" s="12"/>
      <c r="L222" s="159">
        <v>263.70658700000001</v>
      </c>
      <c r="M222" s="187" t="s">
        <v>294</v>
      </c>
      <c r="N222" s="187">
        <v>237.97403299999999</v>
      </c>
      <c r="O222" s="186">
        <f t="shared" si="11"/>
        <v>62755.320037055375</v>
      </c>
      <c r="P222" s="186">
        <f t="shared" si="12"/>
        <v>25424.2818112073</v>
      </c>
      <c r="Q222" s="215">
        <f>IF(P222="-",0,P222/(1+'General inputs'!$H$30)^'MP Calculations'!$C$40)</f>
        <v>56474.677661752059</v>
      </c>
    </row>
    <row r="223" spans="3:17">
      <c r="C223" s="159"/>
      <c r="D223" s="165" t="s">
        <v>282</v>
      </c>
      <c r="E223" s="162">
        <v>28856</v>
      </c>
      <c r="F223" s="166" t="str">
        <f t="shared" si="10"/>
        <v>Date check - OK</v>
      </c>
      <c r="G223" s="68"/>
      <c r="H223" s="162" t="s">
        <v>293</v>
      </c>
      <c r="I223" s="173">
        <v>20414.77563211487</v>
      </c>
      <c r="J223" s="168">
        <f>IFERROR(MIN('MP Calculations'!$E$30/I223,1),"-")</f>
        <v>0.40513348981719682</v>
      </c>
      <c r="K223" s="12"/>
      <c r="L223" s="159">
        <v>244.25741300000001</v>
      </c>
      <c r="M223" s="187" t="s">
        <v>294</v>
      </c>
      <c r="N223" s="187">
        <v>237.97403299999999</v>
      </c>
      <c r="O223" s="186">
        <f t="shared" si="11"/>
        <v>58126.921661756627</v>
      </c>
      <c r="P223" s="186">
        <f t="shared" si="12"/>
        <v>23549.162625158275</v>
      </c>
      <c r="Q223" s="215">
        <f>IF(P223="-",0,P223/(1+'General inputs'!$H$30)^'MP Calculations'!$C$40)</f>
        <v>52309.4960296477</v>
      </c>
    </row>
    <row r="224" spans="3:17">
      <c r="C224" s="159"/>
      <c r="D224" s="165" t="s">
        <v>282</v>
      </c>
      <c r="E224" s="162">
        <v>28856</v>
      </c>
      <c r="F224" s="166" t="str">
        <f t="shared" si="10"/>
        <v>Date check - OK</v>
      </c>
      <c r="G224" s="68"/>
      <c r="H224" s="162" t="s">
        <v>293</v>
      </c>
      <c r="I224" s="173">
        <v>20414.77563211487</v>
      </c>
      <c r="J224" s="168">
        <f>IFERROR(MIN('MP Calculations'!$E$30/I224,1),"-")</f>
        <v>0.40513348981719682</v>
      </c>
      <c r="K224" s="12"/>
      <c r="L224" s="159">
        <v>2.7759999999999998</v>
      </c>
      <c r="M224" s="187" t="s">
        <v>294</v>
      </c>
      <c r="N224" s="187">
        <v>237.97403299999999</v>
      </c>
      <c r="O224" s="186">
        <f t="shared" si="11"/>
        <v>660.61591560799991</v>
      </c>
      <c r="P224" s="186">
        <f t="shared" si="12"/>
        <v>267.63763131905176</v>
      </c>
      <c r="Q224" s="215">
        <f>IF(P224="-",0,P224/(1+'General inputs'!$H$30)^'MP Calculations'!$C$40)</f>
        <v>594.50052792584836</v>
      </c>
    </row>
    <row r="225" spans="3:17">
      <c r="C225" s="159"/>
      <c r="D225" s="165" t="s">
        <v>282</v>
      </c>
      <c r="E225" s="162">
        <v>28856</v>
      </c>
      <c r="F225" s="166" t="str">
        <f t="shared" si="10"/>
        <v>Date check - OK</v>
      </c>
      <c r="G225" s="68"/>
      <c r="H225" s="162" t="s">
        <v>293</v>
      </c>
      <c r="I225" s="173">
        <v>20414.77563211487</v>
      </c>
      <c r="J225" s="168">
        <f>IFERROR(MIN('MP Calculations'!$E$30/I225,1),"-")</f>
        <v>0.40513348981719682</v>
      </c>
      <c r="K225" s="12"/>
      <c r="L225" s="159">
        <v>63.397359000000002</v>
      </c>
      <c r="M225" s="187" t="s">
        <v>294</v>
      </c>
      <c r="N225" s="187">
        <v>237.97403299999999</v>
      </c>
      <c r="O225" s="186">
        <f t="shared" si="11"/>
        <v>15086.925202778846</v>
      </c>
      <c r="P225" s="186">
        <f t="shared" si="12"/>
        <v>6112.2186580128136</v>
      </c>
      <c r="Q225" s="215">
        <f>IF(P225="-",0,P225/(1+'General inputs'!$H$30)^'MP Calculations'!$C$40)</f>
        <v>13577.004104684633</v>
      </c>
    </row>
    <row r="226" spans="3:17">
      <c r="C226" s="159"/>
      <c r="D226" s="165" t="s">
        <v>282</v>
      </c>
      <c r="E226" s="162">
        <v>28856</v>
      </c>
      <c r="F226" s="166" t="str">
        <f t="shared" si="10"/>
        <v>Date check - OK</v>
      </c>
      <c r="G226" s="68"/>
      <c r="H226" s="162" t="s">
        <v>293</v>
      </c>
      <c r="I226" s="173">
        <v>20414.77563211487</v>
      </c>
      <c r="J226" s="168">
        <f>IFERROR(MIN('MP Calculations'!$E$30/I226,1),"-")</f>
        <v>0.40513348981719682</v>
      </c>
      <c r="K226" s="12"/>
      <c r="L226" s="159">
        <v>416.56876399999999</v>
      </c>
      <c r="M226" s="187" t="s">
        <v>294</v>
      </c>
      <c r="N226" s="187">
        <v>237.97403299999999</v>
      </c>
      <c r="O226" s="186">
        <f t="shared" si="11"/>
        <v>99132.548790905203</v>
      </c>
      <c r="P226" s="186">
        <f t="shared" si="12"/>
        <v>40161.91544613296</v>
      </c>
      <c r="Q226" s="215">
        <f>IF(P226="-",0,P226/(1+'General inputs'!$H$30)^'MP Calculations'!$C$40)</f>
        <v>89211.221223133354</v>
      </c>
    </row>
    <row r="227" spans="3:17">
      <c r="C227" s="159"/>
      <c r="D227" s="165" t="s">
        <v>282</v>
      </c>
      <c r="E227" s="162">
        <v>28856</v>
      </c>
      <c r="F227" s="166" t="str">
        <f t="shared" si="10"/>
        <v>Date check - OK</v>
      </c>
      <c r="G227" s="68"/>
      <c r="H227" s="162" t="s">
        <v>293</v>
      </c>
      <c r="I227" s="173">
        <v>20414.77563211487</v>
      </c>
      <c r="J227" s="168">
        <f>IFERROR(MIN('MP Calculations'!$E$30/I227,1),"-")</f>
        <v>0.40513348981719682</v>
      </c>
      <c r="K227" s="12"/>
      <c r="L227" s="159">
        <v>195.63174900000001</v>
      </c>
      <c r="M227" s="187" t="s">
        <v>294</v>
      </c>
      <c r="N227" s="187">
        <v>237.97403299999999</v>
      </c>
      <c r="O227" s="186">
        <f t="shared" si="11"/>
        <v>46555.276292373717</v>
      </c>
      <c r="P227" s="186">
        <f t="shared" si="12"/>
        <v>18861.101553733173</v>
      </c>
      <c r="Q227" s="215">
        <f>IF(P227="-",0,P227/(1+'General inputs'!$H$30)^'MP Calculations'!$C$40)</f>
        <v>41895.957514249676</v>
      </c>
    </row>
    <row r="228" spans="3:17">
      <c r="C228" s="159"/>
      <c r="D228" s="165" t="s">
        <v>282</v>
      </c>
      <c r="E228" s="162">
        <v>28856</v>
      </c>
      <c r="F228" s="166" t="str">
        <f t="shared" si="10"/>
        <v>Date check - OK</v>
      </c>
      <c r="G228" s="68"/>
      <c r="H228" s="162" t="s">
        <v>293</v>
      </c>
      <c r="I228" s="173">
        <v>20414.77563211487</v>
      </c>
      <c r="J228" s="168">
        <f>IFERROR(MIN('MP Calculations'!$E$30/I228,1),"-")</f>
        <v>0.40513348981719682</v>
      </c>
      <c r="K228" s="12"/>
      <c r="L228" s="159">
        <v>147.94997900000001</v>
      </c>
      <c r="M228" s="187" t="s">
        <v>294</v>
      </c>
      <c r="N228" s="187">
        <v>237.97403299999999</v>
      </c>
      <c r="O228" s="186">
        <f t="shared" si="11"/>
        <v>35208.253184895308</v>
      </c>
      <c r="P228" s="186">
        <f t="shared" si="12"/>
        <v>14264.04248316407</v>
      </c>
      <c r="Q228" s="215">
        <f>IF(P228="-",0,P228/(1+'General inputs'!$H$30)^'MP Calculations'!$C$40)</f>
        <v>31684.56074283797</v>
      </c>
    </row>
    <row r="229" spans="3:17">
      <c r="C229" s="159"/>
      <c r="D229" s="165" t="s">
        <v>282</v>
      </c>
      <c r="E229" s="162">
        <v>28856</v>
      </c>
      <c r="F229" s="166" t="str">
        <f t="shared" si="10"/>
        <v>Date check - OK</v>
      </c>
      <c r="G229" s="68"/>
      <c r="H229" s="162" t="s">
        <v>293</v>
      </c>
      <c r="I229" s="173">
        <v>20414.77563211487</v>
      </c>
      <c r="J229" s="168">
        <f>IFERROR(MIN('MP Calculations'!$E$30/I229,1),"-")</f>
        <v>0.40513348981719682</v>
      </c>
      <c r="K229" s="12"/>
      <c r="L229" s="159">
        <v>457.078372</v>
      </c>
      <c r="M229" s="187" t="s">
        <v>294</v>
      </c>
      <c r="N229" s="187">
        <v>237.97403299999999</v>
      </c>
      <c r="O229" s="186">
        <f t="shared" si="11"/>
        <v>108772.78358191428</v>
      </c>
      <c r="P229" s="186">
        <f t="shared" si="12"/>
        <v>44067.497409671625</v>
      </c>
      <c r="Q229" s="215">
        <f>IF(P229="-",0,P229/(1+'General inputs'!$H$30)^'MP Calculations'!$C$40)</f>
        <v>97886.647499094892</v>
      </c>
    </row>
    <row r="230" spans="3:17">
      <c r="C230" s="159"/>
      <c r="D230" s="165" t="s">
        <v>282</v>
      </c>
      <c r="E230" s="162">
        <v>28856</v>
      </c>
      <c r="F230" s="166" t="str">
        <f t="shared" si="10"/>
        <v>Date check - OK</v>
      </c>
      <c r="G230" s="68"/>
      <c r="H230" s="162" t="s">
        <v>293</v>
      </c>
      <c r="I230" s="173">
        <v>20414.77563211487</v>
      </c>
      <c r="J230" s="168">
        <f>IFERROR(MIN('MP Calculations'!$E$30/I230,1),"-")</f>
        <v>0.40513348981719682</v>
      </c>
      <c r="K230" s="12"/>
      <c r="L230" s="159">
        <v>260.17559899999998</v>
      </c>
      <c r="M230" s="187" t="s">
        <v>294</v>
      </c>
      <c r="N230" s="187">
        <v>237.97403299999999</v>
      </c>
      <c r="O230" s="186">
        <f t="shared" si="11"/>
        <v>61915.03658222076</v>
      </c>
      <c r="P230" s="186">
        <f t="shared" si="12"/>
        <v>25083.854842714503</v>
      </c>
      <c r="Q230" s="215">
        <f>IF(P230="-",0,P230/(1+'General inputs'!$H$30)^'MP Calculations'!$C$40)</f>
        <v>55718.490979439426</v>
      </c>
    </row>
    <row r="231" spans="3:17">
      <c r="C231" s="159"/>
      <c r="D231" s="165" t="s">
        <v>282</v>
      </c>
      <c r="E231" s="162">
        <v>28856</v>
      </c>
      <c r="F231" s="166" t="str">
        <f t="shared" si="10"/>
        <v>Date check - OK</v>
      </c>
      <c r="G231" s="68"/>
      <c r="H231" s="162" t="s">
        <v>293</v>
      </c>
      <c r="I231" s="173">
        <v>20414.77563211487</v>
      </c>
      <c r="J231" s="168">
        <f>IFERROR(MIN('MP Calculations'!$E$30/I231,1),"-")</f>
        <v>0.40513348981719682</v>
      </c>
      <c r="K231" s="12"/>
      <c r="L231" s="159">
        <v>0.75876200000000005</v>
      </c>
      <c r="M231" s="187" t="s">
        <v>294</v>
      </c>
      <c r="N231" s="187">
        <v>237.97403299999999</v>
      </c>
      <c r="O231" s="186">
        <f t="shared" si="11"/>
        <v>180.56565322714602</v>
      </c>
      <c r="P231" s="186">
        <f t="shared" si="12"/>
        <v>73.153193233035452</v>
      </c>
      <c r="Q231" s="215">
        <f>IF(P231="-",0,P231/(1+'General inputs'!$H$30)^'MP Calculations'!$C$40)</f>
        <v>162.49438385089076</v>
      </c>
    </row>
    <row r="232" spans="3:17">
      <c r="C232" s="159"/>
      <c r="D232" s="165" t="s">
        <v>282</v>
      </c>
      <c r="E232" s="162">
        <v>28856</v>
      </c>
      <c r="F232" s="166" t="str">
        <f t="shared" si="10"/>
        <v>Date check - OK</v>
      </c>
      <c r="G232" s="68"/>
      <c r="H232" s="162" t="s">
        <v>293</v>
      </c>
      <c r="I232" s="173">
        <v>20414.77563211487</v>
      </c>
      <c r="J232" s="168">
        <f>IFERROR(MIN('MP Calculations'!$E$30/I232,1),"-")</f>
        <v>0.40513348981719682</v>
      </c>
      <c r="K232" s="12"/>
      <c r="L232" s="159">
        <v>101.295993</v>
      </c>
      <c r="M232" s="187" t="s">
        <v>294</v>
      </c>
      <c r="N232" s="187">
        <v>237.97403299999999</v>
      </c>
      <c r="O232" s="186">
        <f t="shared" si="11"/>
        <v>24105.815980949767</v>
      </c>
      <c r="P232" s="186">
        <f t="shared" si="12"/>
        <v>9766.0733532533322</v>
      </c>
      <c r="Q232" s="215">
        <f>IF(P232="-",0,P232/(1+'General inputs'!$H$30)^'MP Calculations'!$C$40)</f>
        <v>21693.271367173289</v>
      </c>
    </row>
    <row r="233" spans="3:17">
      <c r="C233" s="159"/>
      <c r="D233" s="165" t="s">
        <v>282</v>
      </c>
      <c r="E233" s="162">
        <v>28856</v>
      </c>
      <c r="F233" s="166" t="str">
        <f t="shared" si="10"/>
        <v>Date check - OK</v>
      </c>
      <c r="G233" s="68"/>
      <c r="H233" s="162" t="s">
        <v>293</v>
      </c>
      <c r="I233" s="173">
        <v>20414.77563211487</v>
      </c>
      <c r="J233" s="168">
        <f>IFERROR(MIN('MP Calculations'!$E$30/I233,1),"-")</f>
        <v>0.40513348981719682</v>
      </c>
      <c r="K233" s="12"/>
      <c r="L233" s="159">
        <v>404.38670200000001</v>
      </c>
      <c r="M233" s="187" t="s">
        <v>294</v>
      </c>
      <c r="N233" s="187">
        <v>237.97403299999999</v>
      </c>
      <c r="O233" s="186">
        <f t="shared" si="11"/>
        <v>96233.534366509164</v>
      </c>
      <c r="P233" s="186">
        <f t="shared" si="12"/>
        <v>38987.427615346998</v>
      </c>
      <c r="Q233" s="215">
        <f>IF(P233="-",0,P233/(1+'General inputs'!$H$30)^'MP Calculations'!$C$40)</f>
        <v>86602.344317432551</v>
      </c>
    </row>
    <row r="234" spans="3:17">
      <c r="C234" s="159"/>
      <c r="D234" s="165" t="s">
        <v>282</v>
      </c>
      <c r="E234" s="162">
        <v>28856</v>
      </c>
      <c r="F234" s="166" t="str">
        <f t="shared" si="10"/>
        <v>Date check - OK</v>
      </c>
      <c r="G234" s="68"/>
      <c r="H234" s="162" t="s">
        <v>293</v>
      </c>
      <c r="I234" s="173">
        <v>20414.77563211487</v>
      </c>
      <c r="J234" s="168">
        <f>IFERROR(MIN('MP Calculations'!$E$30/I234,1),"-")</f>
        <v>0.40513348981719682</v>
      </c>
      <c r="K234" s="12"/>
      <c r="L234" s="159">
        <v>35.391680999999998</v>
      </c>
      <c r="M234" s="187" t="s">
        <v>294</v>
      </c>
      <c r="N234" s="187">
        <v>237.97403299999999</v>
      </c>
      <c r="O234" s="186">
        <f t="shared" si="11"/>
        <v>8422.3010622194724</v>
      </c>
      <c r="P234" s="186">
        <f t="shared" si="12"/>
        <v>3412.1562216280586</v>
      </c>
      <c r="Q234" s="215">
        <f>IF(P234="-",0,P234/(1+'General inputs'!$H$30)^'MP Calculations'!$C$40)</f>
        <v>7579.3851003902091</v>
      </c>
    </row>
    <row r="235" spans="3:17">
      <c r="C235" s="159"/>
      <c r="D235" s="165" t="s">
        <v>282</v>
      </c>
      <c r="E235" s="162">
        <v>28856</v>
      </c>
      <c r="F235" s="166" t="str">
        <f t="shared" si="10"/>
        <v>Date check - OK</v>
      </c>
      <c r="G235" s="68"/>
      <c r="H235" s="162" t="s">
        <v>293</v>
      </c>
      <c r="I235" s="173">
        <v>20414.77563211487</v>
      </c>
      <c r="J235" s="168">
        <f>IFERROR(MIN('MP Calculations'!$E$30/I235,1),"-")</f>
        <v>0.40513348981719682</v>
      </c>
      <c r="K235" s="12"/>
      <c r="L235" s="159">
        <v>1.1906969999999999</v>
      </c>
      <c r="M235" s="187" t="s">
        <v>294</v>
      </c>
      <c r="N235" s="187">
        <v>237.97403299999999</v>
      </c>
      <c r="O235" s="186">
        <f t="shared" si="11"/>
        <v>283.35496717100096</v>
      </c>
      <c r="P235" s="186">
        <f t="shared" si="12"/>
        <v>114.79658670702486</v>
      </c>
      <c r="Q235" s="215">
        <f>IF(P235="-",0,P235/(1+'General inputs'!$H$30)^'MP Calculations'!$C$40)</f>
        <v>254.99639592929537</v>
      </c>
    </row>
    <row r="236" spans="3:17">
      <c r="C236" s="159"/>
      <c r="D236" s="165" t="s">
        <v>282</v>
      </c>
      <c r="E236" s="162">
        <v>28856</v>
      </c>
      <c r="F236" s="166" t="str">
        <f t="shared" si="10"/>
        <v>Date check - OK</v>
      </c>
      <c r="G236" s="68"/>
      <c r="H236" s="162" t="s">
        <v>293</v>
      </c>
      <c r="I236" s="173">
        <v>20414.77563211487</v>
      </c>
      <c r="J236" s="168">
        <f>IFERROR(MIN('MP Calculations'!$E$30/I236,1),"-")</f>
        <v>0.40513348981719682</v>
      </c>
      <c r="K236" s="12"/>
      <c r="L236" s="159">
        <v>113.872488</v>
      </c>
      <c r="M236" s="187" t="s">
        <v>294</v>
      </c>
      <c r="N236" s="187">
        <v>237.97403299999999</v>
      </c>
      <c r="O236" s="186">
        <f t="shared" si="11"/>
        <v>27098.695217104105</v>
      </c>
      <c r="P236" s="186">
        <f t="shared" si="12"/>
        <v>10978.588962797967</v>
      </c>
      <c r="Q236" s="215">
        <f>IF(P236="-",0,P236/(1+'General inputs'!$H$30)^'MP Calculations'!$C$40)</f>
        <v>24386.618959736981</v>
      </c>
    </row>
    <row r="237" spans="3:17">
      <c r="C237" s="159"/>
      <c r="D237" s="165" t="s">
        <v>282</v>
      </c>
      <c r="E237" s="162">
        <v>28856</v>
      </c>
      <c r="F237" s="166" t="str">
        <f t="shared" si="10"/>
        <v>Date check - OK</v>
      </c>
      <c r="G237" s="68"/>
      <c r="H237" s="162" t="s">
        <v>293</v>
      </c>
      <c r="I237" s="173">
        <v>20414.77563211487</v>
      </c>
      <c r="J237" s="168">
        <f>IFERROR(MIN('MP Calculations'!$E$30/I237,1),"-")</f>
        <v>0.40513348981719682</v>
      </c>
      <c r="K237" s="12"/>
      <c r="L237" s="159">
        <v>1.0384990000000001</v>
      </c>
      <c r="M237" s="187" t="s">
        <v>294</v>
      </c>
      <c r="N237" s="187">
        <v>237.97403299999999</v>
      </c>
      <c r="O237" s="186">
        <f t="shared" si="11"/>
        <v>247.13579529646699</v>
      </c>
      <c r="P237" s="186">
        <f t="shared" si="12"/>
        <v>100.12298720720605</v>
      </c>
      <c r="Q237" s="215">
        <f>IF(P237="-",0,P237/(1+'General inputs'!$H$30)^'MP Calculations'!$C$40)</f>
        <v>222.40209068820815</v>
      </c>
    </row>
    <row r="238" spans="3:17">
      <c r="C238" s="159"/>
      <c r="D238" s="165" t="s">
        <v>282</v>
      </c>
      <c r="E238" s="162">
        <v>28856</v>
      </c>
      <c r="F238" s="166" t="str">
        <f t="shared" si="10"/>
        <v>Date check - OK</v>
      </c>
      <c r="G238" s="68"/>
      <c r="H238" s="162" t="s">
        <v>293</v>
      </c>
      <c r="I238" s="173">
        <v>20414.77563211487</v>
      </c>
      <c r="J238" s="168">
        <f>IFERROR(MIN('MP Calculations'!$E$30/I238,1),"-")</f>
        <v>0.40513348981719682</v>
      </c>
      <c r="K238" s="12"/>
      <c r="L238" s="159">
        <v>179.36101500000001</v>
      </c>
      <c r="M238" s="187" t="s">
        <v>294</v>
      </c>
      <c r="N238" s="187">
        <v>237.97403299999999</v>
      </c>
      <c r="O238" s="186">
        <f t="shared" si="11"/>
        <v>42683.264102523499</v>
      </c>
      <c r="P238" s="186">
        <f t="shared" si="12"/>
        <v>17292.419742644426</v>
      </c>
      <c r="Q238" s="215">
        <f>IF(P238="-",0,P238/(1+'General inputs'!$H$30)^'MP Calculations'!$C$40)</f>
        <v>38411.461854040361</v>
      </c>
    </row>
    <row r="239" spans="3:17">
      <c r="C239" s="159"/>
      <c r="D239" s="165" t="s">
        <v>282</v>
      </c>
      <c r="E239" s="162">
        <v>28856</v>
      </c>
      <c r="F239" s="166" t="str">
        <f t="shared" si="10"/>
        <v>Date check - OK</v>
      </c>
      <c r="G239" s="68"/>
      <c r="H239" s="162" t="s">
        <v>293</v>
      </c>
      <c r="I239" s="173">
        <v>20414.77563211487</v>
      </c>
      <c r="J239" s="168">
        <f>IFERROR(MIN('MP Calculations'!$E$30/I239,1),"-")</f>
        <v>0.40513348981719682</v>
      </c>
      <c r="K239" s="12"/>
      <c r="L239" s="159">
        <v>198.80486300000001</v>
      </c>
      <c r="M239" s="187" t="s">
        <v>294</v>
      </c>
      <c r="N239" s="187">
        <v>237.97403299999999</v>
      </c>
      <c r="O239" s="186">
        <f t="shared" si="11"/>
        <v>47310.395028122482</v>
      </c>
      <c r="P239" s="186">
        <f t="shared" si="12"/>
        <v>19167.025442373419</v>
      </c>
      <c r="Q239" s="215">
        <f>IF(P239="-",0,P239/(1+'General inputs'!$H$30)^'MP Calculations'!$C$40)</f>
        <v>42575.502884627524</v>
      </c>
    </row>
    <row r="240" spans="3:17">
      <c r="C240" s="159"/>
      <c r="D240" s="165" t="s">
        <v>282</v>
      </c>
      <c r="E240" s="162">
        <v>28856</v>
      </c>
      <c r="F240" s="166" t="str">
        <f t="shared" si="10"/>
        <v>Date check - OK</v>
      </c>
      <c r="G240" s="68"/>
      <c r="H240" s="162" t="s">
        <v>293</v>
      </c>
      <c r="I240" s="173">
        <v>20414.77563211487</v>
      </c>
      <c r="J240" s="168">
        <f>IFERROR(MIN('MP Calculations'!$E$30/I240,1),"-")</f>
        <v>0.40513348981719682</v>
      </c>
      <c r="K240" s="12"/>
      <c r="L240" s="159">
        <v>0.49651699999999999</v>
      </c>
      <c r="M240" s="187" t="s">
        <v>294</v>
      </c>
      <c r="N240" s="187">
        <v>237.97403299999999</v>
      </c>
      <c r="O240" s="186">
        <f t="shared" si="11"/>
        <v>118.158152943061</v>
      </c>
      <c r="P240" s="186">
        <f t="shared" si="12"/>
        <v>47.869824852176386</v>
      </c>
      <c r="Q240" s="215">
        <f>IF(P240="-",0,P240/(1+'General inputs'!$H$30)^'MP Calculations'!$C$40)</f>
        <v>106.33271564270841</v>
      </c>
    </row>
    <row r="241" spans="3:17">
      <c r="C241" s="159"/>
      <c r="D241" s="165" t="s">
        <v>282</v>
      </c>
      <c r="E241" s="162">
        <v>28856</v>
      </c>
      <c r="F241" s="166" t="str">
        <f t="shared" si="10"/>
        <v>Date check - OK</v>
      </c>
      <c r="G241" s="68"/>
      <c r="H241" s="162" t="s">
        <v>293</v>
      </c>
      <c r="I241" s="173">
        <v>20414.77563211487</v>
      </c>
      <c r="J241" s="168">
        <f>IFERROR(MIN('MP Calculations'!$E$30/I241,1),"-")</f>
        <v>0.40513348981719682</v>
      </c>
      <c r="K241" s="12"/>
      <c r="L241" s="159">
        <v>532.72945500000003</v>
      </c>
      <c r="M241" s="187" t="s">
        <v>294</v>
      </c>
      <c r="N241" s="187">
        <v>237.97403299999999</v>
      </c>
      <c r="O241" s="186">
        <f t="shared" si="11"/>
        <v>126775.77690424201</v>
      </c>
      <c r="P241" s="186">
        <f t="shared" si="12"/>
        <v>51361.112921501946</v>
      </c>
      <c r="Q241" s="215">
        <f>IF(P241="-",0,P241/(1+'General inputs'!$H$30)^'MP Calculations'!$C$40)</f>
        <v>114087.87544637952</v>
      </c>
    </row>
    <row r="242" spans="3:17">
      <c r="C242" s="159"/>
      <c r="D242" s="165" t="s">
        <v>282</v>
      </c>
      <c r="E242" s="162">
        <v>28856</v>
      </c>
      <c r="F242" s="166" t="str">
        <f t="shared" si="10"/>
        <v>Date check - OK</v>
      </c>
      <c r="G242" s="68"/>
      <c r="H242" s="162" t="s">
        <v>293</v>
      </c>
      <c r="I242" s="173">
        <v>20414.77563211487</v>
      </c>
      <c r="J242" s="168">
        <f>IFERROR(MIN('MP Calculations'!$E$30/I242,1),"-")</f>
        <v>0.40513348981719682</v>
      </c>
      <c r="K242" s="12"/>
      <c r="L242" s="159">
        <v>155.02699200000001</v>
      </c>
      <c r="M242" s="187" t="s">
        <v>294</v>
      </c>
      <c r="N242" s="187">
        <v>237.97403299999999</v>
      </c>
      <c r="O242" s="186">
        <f t="shared" si="11"/>
        <v>36892.398510098734</v>
      </c>
      <c r="P242" s="186">
        <f t="shared" si="12"/>
        <v>14946.346156123052</v>
      </c>
      <c r="Q242" s="215">
        <f>IF(P242="-",0,P242/(1+'General inputs'!$H$30)^'MP Calculations'!$C$40)</f>
        <v>33200.154390041891</v>
      </c>
    </row>
    <row r="243" spans="3:17">
      <c r="C243" s="159"/>
      <c r="D243" s="165" t="s">
        <v>282</v>
      </c>
      <c r="E243" s="162">
        <v>28856</v>
      </c>
      <c r="F243" s="166" t="str">
        <f t="shared" si="10"/>
        <v>Date check - OK</v>
      </c>
      <c r="G243" s="68"/>
      <c r="H243" s="162" t="s">
        <v>293</v>
      </c>
      <c r="I243" s="173">
        <v>20414.77563211487</v>
      </c>
      <c r="J243" s="168">
        <f>IFERROR(MIN('MP Calculations'!$E$30/I243,1),"-")</f>
        <v>0.40513348981719682</v>
      </c>
      <c r="K243" s="12"/>
      <c r="L243" s="159">
        <v>381.46785799999998</v>
      </c>
      <c r="M243" s="187" t="s">
        <v>294</v>
      </c>
      <c r="N243" s="187">
        <v>237.97403299999999</v>
      </c>
      <c r="O243" s="186">
        <f t="shared" si="11"/>
        <v>90779.444628131299</v>
      </c>
      <c r="P243" s="186">
        <f t="shared" si="12"/>
        <v>36777.793205861817</v>
      </c>
      <c r="Q243" s="215">
        <f>IF(P243="-",0,P243/(1+'General inputs'!$H$30)^'MP Calculations'!$C$40)</f>
        <v>81694.107697313622</v>
      </c>
    </row>
    <row r="244" spans="3:17">
      <c r="C244" s="159"/>
      <c r="D244" s="165" t="s">
        <v>282</v>
      </c>
      <c r="E244" s="162">
        <v>28856</v>
      </c>
      <c r="F244" s="166" t="str">
        <f t="shared" si="10"/>
        <v>Date check - OK</v>
      </c>
      <c r="G244" s="68"/>
      <c r="H244" s="162" t="s">
        <v>293</v>
      </c>
      <c r="I244" s="173">
        <v>20414.77563211487</v>
      </c>
      <c r="J244" s="168">
        <f>IFERROR(MIN('MP Calculations'!$E$30/I244,1),"-")</f>
        <v>0.40513348981719682</v>
      </c>
      <c r="K244" s="12"/>
      <c r="L244" s="159">
        <v>463.01648299999999</v>
      </c>
      <c r="M244" s="187" t="s">
        <v>294</v>
      </c>
      <c r="N244" s="187">
        <v>237.97403299999999</v>
      </c>
      <c r="O244" s="186">
        <f t="shared" si="11"/>
        <v>110185.89980498594</v>
      </c>
      <c r="P244" s="186">
        <f t="shared" si="12"/>
        <v>44639.998116641938</v>
      </c>
      <c r="Q244" s="215">
        <f>IF(P244="-",0,P244/(1+'General inputs'!$H$30)^'MP Calculations'!$C$40)</f>
        <v>99158.337025169181</v>
      </c>
    </row>
    <row r="245" spans="3:17">
      <c r="C245" s="159"/>
      <c r="D245" s="165" t="s">
        <v>282</v>
      </c>
      <c r="E245" s="162">
        <v>28856</v>
      </c>
      <c r="F245" s="166" t="str">
        <f t="shared" si="10"/>
        <v>Date check - OK</v>
      </c>
      <c r="G245" s="68"/>
      <c r="H245" s="162" t="s">
        <v>293</v>
      </c>
      <c r="I245" s="173">
        <v>20414.77563211487</v>
      </c>
      <c r="J245" s="168">
        <f>IFERROR(MIN('MP Calculations'!$E$30/I245,1),"-")</f>
        <v>0.40513348981719682</v>
      </c>
      <c r="K245" s="12"/>
      <c r="L245" s="159">
        <v>234.56422599999999</v>
      </c>
      <c r="M245" s="187" t="s">
        <v>294</v>
      </c>
      <c r="N245" s="187">
        <v>237.97403299999999</v>
      </c>
      <c r="O245" s="186">
        <f t="shared" si="11"/>
        <v>55820.194858743453</v>
      </c>
      <c r="P245" s="186">
        <f t="shared" si="12"/>
        <v>22614.630345398684</v>
      </c>
      <c r="Q245" s="215">
        <f>IF(P245="-",0,P245/(1+'General inputs'!$H$30)^'MP Calculations'!$C$40)</f>
        <v>50233.629751267305</v>
      </c>
    </row>
    <row r="246" spans="3:17">
      <c r="C246" s="159"/>
      <c r="D246" s="165" t="s">
        <v>282</v>
      </c>
      <c r="E246" s="162">
        <v>28856</v>
      </c>
      <c r="F246" s="166" t="str">
        <f t="shared" si="10"/>
        <v>Date check - OK</v>
      </c>
      <c r="G246" s="68"/>
      <c r="H246" s="162" t="s">
        <v>293</v>
      </c>
      <c r="I246" s="173">
        <v>20414.77563211487</v>
      </c>
      <c r="J246" s="168">
        <f>IFERROR(MIN('MP Calculations'!$E$30/I246,1),"-")</f>
        <v>0.40513348981719682</v>
      </c>
      <c r="K246" s="12"/>
      <c r="L246" s="159">
        <v>43.156128000000002</v>
      </c>
      <c r="M246" s="187" t="s">
        <v>294</v>
      </c>
      <c r="N246" s="187">
        <v>237.97403299999999</v>
      </c>
      <c r="O246" s="186">
        <f t="shared" si="11"/>
        <v>10270.037828824225</v>
      </c>
      <c r="P246" s="186">
        <f t="shared" si="12"/>
        <v>4160.7362661461848</v>
      </c>
      <c r="Q246" s="215">
        <f>IF(P246="-",0,P246/(1+'General inputs'!$H$30)^'MP Calculations'!$C$40)</f>
        <v>9242.1977230675402</v>
      </c>
    </row>
    <row r="247" spans="3:17">
      <c r="C247" s="159"/>
      <c r="D247" s="165" t="s">
        <v>282</v>
      </c>
      <c r="E247" s="162">
        <v>28856</v>
      </c>
      <c r="F247" s="166" t="str">
        <f t="shared" si="10"/>
        <v>Date check - OK</v>
      </c>
      <c r="G247" s="68"/>
      <c r="H247" s="162" t="s">
        <v>293</v>
      </c>
      <c r="I247" s="173">
        <v>20414.77563211487</v>
      </c>
      <c r="J247" s="168">
        <f>IFERROR(MIN('MP Calculations'!$E$30/I247,1),"-")</f>
        <v>0.40513348981719682</v>
      </c>
      <c r="K247" s="12"/>
      <c r="L247" s="159">
        <v>0.68329200000000001</v>
      </c>
      <c r="M247" s="187" t="s">
        <v>294</v>
      </c>
      <c r="N247" s="187">
        <v>237.97403299999999</v>
      </c>
      <c r="O247" s="186">
        <f t="shared" si="11"/>
        <v>162.605752956636</v>
      </c>
      <c r="P247" s="186">
        <f t="shared" si="12"/>
        <v>65.877036159674915</v>
      </c>
      <c r="Q247" s="215">
        <f>IF(P247="-",0,P247/(1+'General inputs'!$H$30)^'MP Calculations'!$C$40)</f>
        <v>146.33193614103348</v>
      </c>
    </row>
    <row r="248" spans="3:17">
      <c r="C248" s="159"/>
      <c r="D248" s="165" t="s">
        <v>282</v>
      </c>
      <c r="E248" s="162">
        <v>28856</v>
      </c>
      <c r="F248" s="166" t="str">
        <f t="shared" si="10"/>
        <v>Date check - OK</v>
      </c>
      <c r="G248" s="68"/>
      <c r="H248" s="162" t="s">
        <v>293</v>
      </c>
      <c r="I248" s="173">
        <v>20414.77563211487</v>
      </c>
      <c r="J248" s="168">
        <f>IFERROR(MIN('MP Calculations'!$E$30/I248,1),"-")</f>
        <v>0.40513348981719682</v>
      </c>
      <c r="K248" s="12"/>
      <c r="L248" s="159">
        <v>121.017337</v>
      </c>
      <c r="M248" s="187" t="s">
        <v>294</v>
      </c>
      <c r="N248" s="187">
        <v>237.97403299999999</v>
      </c>
      <c r="O248" s="186">
        <f t="shared" si="11"/>
        <v>28798.983748810118</v>
      </c>
      <c r="P248" s="186">
        <f t="shared" si="12"/>
        <v>11667.43278934418</v>
      </c>
      <c r="Q248" s="215">
        <f>IF(P248="-",0,P248/(1+'General inputs'!$H$30)^'MP Calculations'!$C$40)</f>
        <v>25916.740178198961</v>
      </c>
    </row>
    <row r="249" spans="3:17">
      <c r="C249" s="159"/>
      <c r="D249" s="165" t="s">
        <v>281</v>
      </c>
      <c r="E249" s="162">
        <v>28856</v>
      </c>
      <c r="F249" s="166" t="str">
        <f t="shared" si="10"/>
        <v>Date check - OK</v>
      </c>
      <c r="G249" s="68"/>
      <c r="H249" s="162" t="s">
        <v>293</v>
      </c>
      <c r="I249" s="173">
        <v>20414.77563211487</v>
      </c>
      <c r="J249" s="168">
        <f>IFERROR(MIN('MP Calculations'!$E$30/I249,1),"-")</f>
        <v>0.40513348981719682</v>
      </c>
      <c r="K249" s="12"/>
      <c r="L249" s="159">
        <v>38.989443000000001</v>
      </c>
      <c r="M249" s="187" t="s">
        <v>294</v>
      </c>
      <c r="N249" s="187">
        <v>192.78728599999999</v>
      </c>
      <c r="O249" s="186">
        <f t="shared" si="11"/>
        <v>7516.6688986216977</v>
      </c>
      <c r="P249" s="186">
        <f t="shared" si="12"/>
        <v>3045.2543026989938</v>
      </c>
      <c r="Q249" s="215">
        <f>IF(P249="-",0,P249/(1+'General inputs'!$H$30)^'MP Calculations'!$C$40)</f>
        <v>6764.3899017504855</v>
      </c>
    </row>
    <row r="250" spans="3:17">
      <c r="C250" s="159"/>
      <c r="D250" s="165" t="s">
        <v>281</v>
      </c>
      <c r="E250" s="162">
        <v>28856</v>
      </c>
      <c r="F250" s="166" t="str">
        <f t="shared" si="10"/>
        <v>Date check - OK</v>
      </c>
      <c r="G250" s="68"/>
      <c r="H250" s="162" t="s">
        <v>293</v>
      </c>
      <c r="I250" s="173">
        <v>20414.77563211487</v>
      </c>
      <c r="J250" s="168">
        <f>IFERROR(MIN('MP Calculations'!$E$30/I250,1),"-")</f>
        <v>0.40513348981719682</v>
      </c>
      <c r="K250" s="12"/>
      <c r="L250" s="159">
        <v>4.8245069999999997</v>
      </c>
      <c r="M250" s="187" t="s">
        <v>294</v>
      </c>
      <c r="N250" s="187">
        <v>192.78728599999999</v>
      </c>
      <c r="O250" s="186">
        <f t="shared" si="11"/>
        <v>930.10361081800193</v>
      </c>
      <c r="P250" s="186">
        <f t="shared" si="12"/>
        <v>376.81612174227297</v>
      </c>
      <c r="Q250" s="215">
        <f>IF(P250="-",0,P250/(1+'General inputs'!$H$30)^'MP Calculations'!$C$40)</f>
        <v>837.01750834769621</v>
      </c>
    </row>
    <row r="251" spans="3:17">
      <c r="C251" s="159"/>
      <c r="D251" s="165" t="s">
        <v>281</v>
      </c>
      <c r="E251" s="162">
        <v>28856</v>
      </c>
      <c r="F251" s="166" t="str">
        <f t="shared" si="10"/>
        <v>Date check - OK</v>
      </c>
      <c r="G251" s="68"/>
      <c r="H251" s="162" t="s">
        <v>293</v>
      </c>
      <c r="I251" s="173">
        <v>20414.77563211487</v>
      </c>
      <c r="J251" s="168">
        <f>IFERROR(MIN('MP Calculations'!$E$30/I251,1),"-")</f>
        <v>0.40513348981719682</v>
      </c>
      <c r="K251" s="12"/>
      <c r="L251" s="159">
        <v>11.886886000000001</v>
      </c>
      <c r="M251" s="187" t="s">
        <v>294</v>
      </c>
      <c r="N251" s="187">
        <v>192.78728599999999</v>
      </c>
      <c r="O251" s="186">
        <f t="shared" si="11"/>
        <v>2291.640490931396</v>
      </c>
      <c r="P251" s="186">
        <f t="shared" si="12"/>
        <v>928.42030949743071</v>
      </c>
      <c r="Q251" s="215">
        <f>IF(P251="-",0,P251/(1+'General inputs'!$H$30)^'MP Calculations'!$C$40)</f>
        <v>2062.2898260346838</v>
      </c>
    </row>
    <row r="252" spans="3:17">
      <c r="C252" s="159"/>
      <c r="D252" s="165" t="s">
        <v>281</v>
      </c>
      <c r="E252" s="162">
        <v>28856</v>
      </c>
      <c r="F252" s="166" t="str">
        <f t="shared" si="10"/>
        <v>Date check - OK</v>
      </c>
      <c r="G252" s="68"/>
      <c r="H252" s="162" t="s">
        <v>293</v>
      </c>
      <c r="I252" s="173">
        <v>20414.77563211487</v>
      </c>
      <c r="J252" s="168">
        <f>IFERROR(MIN('MP Calculations'!$E$30/I252,1),"-")</f>
        <v>0.40513348981719682</v>
      </c>
      <c r="K252" s="12"/>
      <c r="L252" s="159">
        <v>161.58757399999999</v>
      </c>
      <c r="M252" s="187" t="s">
        <v>294</v>
      </c>
      <c r="N252" s="187">
        <v>192.78728599999999</v>
      </c>
      <c r="O252" s="186">
        <f t="shared" si="11"/>
        <v>31152.029842784163</v>
      </c>
      <c r="P252" s="186">
        <f t="shared" si="12"/>
        <v>12620.73056509661</v>
      </c>
      <c r="Q252" s="215">
        <f>IF(P252="-",0,P252/(1+'General inputs'!$H$30)^'MP Calculations'!$C$40)</f>
        <v>28034.290046512317</v>
      </c>
    </row>
    <row r="253" spans="3:17">
      <c r="C253" s="159"/>
      <c r="D253" s="165" t="s">
        <v>281</v>
      </c>
      <c r="E253" s="162">
        <v>28856</v>
      </c>
      <c r="F253" s="166" t="str">
        <f t="shared" si="10"/>
        <v>Date check - OK</v>
      </c>
      <c r="G253" s="68"/>
      <c r="H253" s="162" t="s">
        <v>293</v>
      </c>
      <c r="I253" s="173">
        <v>20414.77563211487</v>
      </c>
      <c r="J253" s="168">
        <f>IFERROR(MIN('MP Calculations'!$E$30/I253,1),"-")</f>
        <v>0.40513348981719682</v>
      </c>
      <c r="K253" s="12"/>
      <c r="L253" s="159">
        <v>161.67352</v>
      </c>
      <c r="M253" s="187" t="s">
        <v>294</v>
      </c>
      <c r="N253" s="187">
        <v>192.78728599999999</v>
      </c>
      <c r="O253" s="186">
        <f t="shared" si="11"/>
        <v>31168.599138866717</v>
      </c>
      <c r="P253" s="186">
        <f t="shared" si="12"/>
        <v>12627.443341842349</v>
      </c>
      <c r="Q253" s="215">
        <f>IF(P253="-",0,P253/(1+'General inputs'!$H$30)^'MP Calculations'!$C$40)</f>
        <v>28049.201063694472</v>
      </c>
    </row>
    <row r="254" spans="3:17">
      <c r="C254" s="159"/>
      <c r="D254" s="165" t="s">
        <v>281</v>
      </c>
      <c r="E254" s="162">
        <v>28856</v>
      </c>
      <c r="F254" s="166" t="str">
        <f t="shared" si="10"/>
        <v>Date check - OK</v>
      </c>
      <c r="G254" s="68"/>
      <c r="H254" s="162" t="s">
        <v>293</v>
      </c>
      <c r="I254" s="173">
        <v>20414.77563211487</v>
      </c>
      <c r="J254" s="168">
        <f>IFERROR(MIN('MP Calculations'!$E$30/I254,1),"-")</f>
        <v>0.40513348981719682</v>
      </c>
      <c r="K254" s="12"/>
      <c r="L254" s="159">
        <v>3.0931829999999998</v>
      </c>
      <c r="M254" s="187" t="s">
        <v>294</v>
      </c>
      <c r="N254" s="187">
        <v>192.78728599999999</v>
      </c>
      <c r="O254" s="186">
        <f t="shared" si="11"/>
        <v>596.32635567133798</v>
      </c>
      <c r="P254" s="186">
        <f t="shared" si="12"/>
        <v>241.59177754310011</v>
      </c>
      <c r="Q254" s="215">
        <f>IF(P254="-",0,P254/(1+'General inputs'!$H$30)^'MP Calculations'!$C$40)</f>
        <v>536.64515929263905</v>
      </c>
    </row>
    <row r="255" spans="3:17">
      <c r="C255" s="159"/>
      <c r="D255" s="165" t="s">
        <v>281</v>
      </c>
      <c r="E255" s="162">
        <v>28856</v>
      </c>
      <c r="F255" s="166" t="str">
        <f t="shared" si="10"/>
        <v>Date check - OK</v>
      </c>
      <c r="G255" s="68"/>
      <c r="H255" s="162" t="s">
        <v>293</v>
      </c>
      <c r="I255" s="173">
        <v>20414.77563211487</v>
      </c>
      <c r="J255" s="168">
        <f>IFERROR(MIN('MP Calculations'!$E$30/I255,1),"-")</f>
        <v>0.40513348981719682</v>
      </c>
      <c r="K255" s="12"/>
      <c r="L255" s="159">
        <v>3.8999640000000002</v>
      </c>
      <c r="M255" s="187" t="s">
        <v>294</v>
      </c>
      <c r="N255" s="187">
        <v>192.78728599999999</v>
      </c>
      <c r="O255" s="186">
        <f t="shared" si="11"/>
        <v>751.86347505770402</v>
      </c>
      <c r="P255" s="186">
        <f t="shared" si="12"/>
        <v>304.60507351621254</v>
      </c>
      <c r="Q255" s="215">
        <f>IF(P255="-",0,P255/(1+'General inputs'!$H$30)^'MP Calculations'!$C$40)</f>
        <v>676.61590084245188</v>
      </c>
    </row>
    <row r="256" spans="3:17">
      <c r="C256" s="159"/>
      <c r="D256" s="165" t="s">
        <v>281</v>
      </c>
      <c r="E256" s="162">
        <v>28856</v>
      </c>
      <c r="F256" s="166" t="str">
        <f t="shared" si="10"/>
        <v>Date check - OK</v>
      </c>
      <c r="G256" s="68"/>
      <c r="H256" s="162" t="s">
        <v>293</v>
      </c>
      <c r="I256" s="173">
        <v>20414.77563211487</v>
      </c>
      <c r="J256" s="168">
        <f>IFERROR(MIN('MP Calculations'!$E$30/I256,1),"-")</f>
        <v>0.40513348981719682</v>
      </c>
      <c r="K256" s="12"/>
      <c r="L256" s="159">
        <v>30.283203</v>
      </c>
      <c r="M256" s="187" t="s">
        <v>294</v>
      </c>
      <c r="N256" s="187">
        <v>192.78728599999999</v>
      </c>
      <c r="O256" s="186">
        <f t="shared" si="11"/>
        <v>5838.2165177570578</v>
      </c>
      <c r="P256" s="186">
        <f t="shared" si="12"/>
        <v>2365.2570321473195</v>
      </c>
      <c r="Q256" s="215">
        <f>IF(P256="-",0,P256/(1+'General inputs'!$H$30)^'MP Calculations'!$C$40)</f>
        <v>5253.9194408563371</v>
      </c>
    </row>
    <row r="257" spans="3:17">
      <c r="C257" s="159"/>
      <c r="D257" s="165" t="s">
        <v>282</v>
      </c>
      <c r="E257" s="162">
        <v>28856</v>
      </c>
      <c r="F257" s="166" t="str">
        <f t="shared" si="10"/>
        <v>Date check - OK</v>
      </c>
      <c r="G257" s="68"/>
      <c r="H257" s="162" t="s">
        <v>293</v>
      </c>
      <c r="I257" s="173">
        <v>20414.77563211487</v>
      </c>
      <c r="J257" s="168">
        <f>IFERROR(MIN('MP Calculations'!$E$30/I257,1),"-")</f>
        <v>0.40513348981719682</v>
      </c>
      <c r="K257" s="12"/>
      <c r="L257" s="159">
        <v>5.1622750000000002</v>
      </c>
      <c r="M257" s="187" t="s">
        <v>294</v>
      </c>
      <c r="N257" s="187">
        <v>237.97403299999999</v>
      </c>
      <c r="O257" s="186">
        <f t="shared" si="11"/>
        <v>1228.487401205075</v>
      </c>
      <c r="P257" s="186">
        <f t="shared" si="12"/>
        <v>497.70138804667084</v>
      </c>
      <c r="Q257" s="215">
        <f>IF(P257="-",0,P257/(1+'General inputs'!$H$30)^'MP Calculations'!$C$40)</f>
        <v>1105.5386213250756</v>
      </c>
    </row>
    <row r="258" spans="3:17">
      <c r="C258" s="159"/>
      <c r="D258" s="165" t="s">
        <v>281</v>
      </c>
      <c r="E258" s="162">
        <v>28856</v>
      </c>
      <c r="F258" s="166" t="str">
        <f t="shared" si="10"/>
        <v>Date check - OK</v>
      </c>
      <c r="G258" s="68"/>
      <c r="H258" s="162" t="s">
        <v>293</v>
      </c>
      <c r="I258" s="173">
        <v>20414.77563211487</v>
      </c>
      <c r="J258" s="168">
        <f>IFERROR(MIN('MP Calculations'!$E$30/I258,1),"-")</f>
        <v>0.40513348981719682</v>
      </c>
      <c r="K258" s="12"/>
      <c r="L258" s="159">
        <v>27.551036</v>
      </c>
      <c r="M258" s="187" t="s">
        <v>294</v>
      </c>
      <c r="N258" s="187">
        <v>192.78728599999999</v>
      </c>
      <c r="O258" s="186">
        <f t="shared" si="11"/>
        <v>5311.489456928296</v>
      </c>
      <c r="P258" s="186">
        <f t="shared" si="12"/>
        <v>2151.862259812608</v>
      </c>
      <c r="Q258" s="215">
        <f>IF(P258="-",0,P258/(1+'General inputs'!$H$30)^'MP Calculations'!$C$40)</f>
        <v>4779.9079792230959</v>
      </c>
    </row>
    <row r="259" spans="3:17">
      <c r="C259" s="159"/>
      <c r="D259" s="165" t="s">
        <v>281</v>
      </c>
      <c r="E259" s="162">
        <v>28856</v>
      </c>
      <c r="F259" s="166" t="str">
        <f t="shared" si="10"/>
        <v>Date check - OK</v>
      </c>
      <c r="G259" s="68"/>
      <c r="H259" s="162" t="s">
        <v>293</v>
      </c>
      <c r="I259" s="173">
        <v>20414.77563211487</v>
      </c>
      <c r="J259" s="168">
        <f>IFERROR(MIN('MP Calculations'!$E$30/I259,1),"-")</f>
        <v>0.40513348981719682</v>
      </c>
      <c r="K259" s="12"/>
      <c r="L259" s="159">
        <v>65.476417999999995</v>
      </c>
      <c r="M259" s="187" t="s">
        <v>294</v>
      </c>
      <c r="N259" s="187">
        <v>192.78728599999999</v>
      </c>
      <c r="O259" s="186">
        <f t="shared" si="11"/>
        <v>12623.020923221547</v>
      </c>
      <c r="P259" s="186">
        <f t="shared" si="12"/>
        <v>5114.0085186602391</v>
      </c>
      <c r="Q259" s="215">
        <f>IF(P259="-",0,P259/(1+'General inputs'!$H$30)^'MP Calculations'!$C$40)</f>
        <v>11359.690896892107</v>
      </c>
    </row>
    <row r="260" spans="3:17">
      <c r="C260" s="159"/>
      <c r="D260" s="165" t="s">
        <v>282</v>
      </c>
      <c r="E260" s="162">
        <v>28856</v>
      </c>
      <c r="F260" s="166" t="str">
        <f t="shared" si="10"/>
        <v>Date check - OK</v>
      </c>
      <c r="G260" s="68"/>
      <c r="H260" s="162" t="s">
        <v>293</v>
      </c>
      <c r="I260" s="173">
        <v>20414.77563211487</v>
      </c>
      <c r="J260" s="168">
        <f>IFERROR(MIN('MP Calculations'!$E$30/I260,1),"-")</f>
        <v>0.40513348981719682</v>
      </c>
      <c r="K260" s="12"/>
      <c r="L260" s="159">
        <v>21.549959999999999</v>
      </c>
      <c r="M260" s="187" t="s">
        <v>294</v>
      </c>
      <c r="N260" s="187">
        <v>237.97403299999999</v>
      </c>
      <c r="O260" s="186">
        <f t="shared" si="11"/>
        <v>5128.3308921886792</v>
      </c>
      <c r="P260" s="186">
        <f t="shared" si="12"/>
        <v>2077.6585912897381</v>
      </c>
      <c r="Q260" s="215">
        <f>IF(P260="-",0,P260/(1+'General inputs'!$H$30)^'MP Calculations'!$C$40)</f>
        <v>4615.0801861602722</v>
      </c>
    </row>
    <row r="261" spans="3:17">
      <c r="C261" s="159"/>
      <c r="D261" s="165" t="s">
        <v>282</v>
      </c>
      <c r="E261" s="162">
        <v>28856</v>
      </c>
      <c r="F261" s="166" t="str">
        <f t="shared" si="10"/>
        <v>Date check - OK</v>
      </c>
      <c r="G261" s="68"/>
      <c r="H261" s="162" t="s">
        <v>293</v>
      </c>
      <c r="I261" s="173">
        <v>20414.77563211487</v>
      </c>
      <c r="J261" s="168">
        <f>IFERROR(MIN('MP Calculations'!$E$30/I261,1),"-")</f>
        <v>0.40513348981719682</v>
      </c>
      <c r="K261" s="12"/>
      <c r="L261" s="159">
        <v>92.479962</v>
      </c>
      <c r="M261" s="187" t="s">
        <v>294</v>
      </c>
      <c r="N261" s="187">
        <v>237.97403299999999</v>
      </c>
      <c r="O261" s="186">
        <f t="shared" si="11"/>
        <v>22007.829528826744</v>
      </c>
      <c r="P261" s="186">
        <f t="shared" si="12"/>
        <v>8916.1087803155333</v>
      </c>
      <c r="Q261" s="215">
        <f>IF(P261="-",0,P261/(1+'General inputs'!$H$30)^'MP Calculations'!$C$40)</f>
        <v>19805.254406182423</v>
      </c>
    </row>
    <row r="262" spans="3:17">
      <c r="C262" s="159"/>
      <c r="D262" s="165" t="s">
        <v>281</v>
      </c>
      <c r="E262" s="162">
        <v>28856</v>
      </c>
      <c r="F262" s="166" t="str">
        <f t="shared" si="10"/>
        <v>Date check - OK</v>
      </c>
      <c r="G262" s="68"/>
      <c r="H262" s="162" t="s">
        <v>293</v>
      </c>
      <c r="I262" s="173">
        <v>20414.77563211487</v>
      </c>
      <c r="J262" s="168">
        <f>IFERROR(MIN('MP Calculations'!$E$30/I262,1),"-")</f>
        <v>0.40513348981719682</v>
      </c>
      <c r="K262" s="12"/>
      <c r="L262" s="159">
        <v>314.45637299999999</v>
      </c>
      <c r="M262" s="187" t="s">
        <v>294</v>
      </c>
      <c r="N262" s="187">
        <v>192.78728599999999</v>
      </c>
      <c r="O262" s="186">
        <f t="shared" si="11"/>
        <v>60623.190716073674</v>
      </c>
      <c r="P262" s="186">
        <f t="shared" si="12"/>
        <v>24560.484818656416</v>
      </c>
      <c r="Q262" s="215">
        <f>IF(P262="-",0,P262/(1+'General inputs'!$H$30)^'MP Calculations'!$C$40)</f>
        <v>54555.934899154214</v>
      </c>
    </row>
    <row r="263" spans="3:17">
      <c r="C263" s="159"/>
      <c r="D263" s="165" t="s">
        <v>281</v>
      </c>
      <c r="E263" s="162">
        <v>28856</v>
      </c>
      <c r="F263" s="166" t="str">
        <f t="shared" si="10"/>
        <v>Date check - OK</v>
      </c>
      <c r="G263" s="68"/>
      <c r="H263" s="162" t="s">
        <v>293</v>
      </c>
      <c r="I263" s="173">
        <v>20414.77563211487</v>
      </c>
      <c r="J263" s="168">
        <f>IFERROR(MIN('MP Calculations'!$E$30/I263,1),"-")</f>
        <v>0.40513348981719682</v>
      </c>
      <c r="K263" s="12"/>
      <c r="L263" s="159">
        <v>41.530085999999997</v>
      </c>
      <c r="M263" s="187" t="s">
        <v>294</v>
      </c>
      <c r="N263" s="187">
        <v>192.78728599999999</v>
      </c>
      <c r="O263" s="186">
        <f t="shared" si="11"/>
        <v>8006.4725672865952</v>
      </c>
      <c r="P263" s="186">
        <f t="shared" si="12"/>
        <v>3243.6901723104697</v>
      </c>
      <c r="Q263" s="215">
        <f>IF(P263="-",0,P263/(1+'General inputs'!$H$30)^'MP Calculations'!$C$40)</f>
        <v>7205.1733172292097</v>
      </c>
    </row>
    <row r="264" spans="3:17">
      <c r="C264" s="159"/>
      <c r="D264" s="165" t="s">
        <v>281</v>
      </c>
      <c r="E264" s="162">
        <v>28856</v>
      </c>
      <c r="F264" s="166" t="str">
        <f t="shared" si="10"/>
        <v>Date check - OK</v>
      </c>
      <c r="G264" s="68"/>
      <c r="H264" s="162" t="s">
        <v>293</v>
      </c>
      <c r="I264" s="173">
        <v>20414.77563211487</v>
      </c>
      <c r="J264" s="168">
        <f>IFERROR(MIN('MP Calculations'!$E$30/I264,1),"-")</f>
        <v>0.40513348981719682</v>
      </c>
      <c r="K264" s="12"/>
      <c r="L264" s="159">
        <v>36.234602000000002</v>
      </c>
      <c r="M264" s="187" t="s">
        <v>294</v>
      </c>
      <c r="N264" s="187">
        <v>192.78728599999999</v>
      </c>
      <c r="O264" s="186">
        <f t="shared" si="11"/>
        <v>6985.5705788701725</v>
      </c>
      <c r="P264" s="186">
        <f t="shared" si="12"/>
        <v>2830.0885869820086</v>
      </c>
      <c r="Q264" s="215">
        <f>IF(P264="-",0,P264/(1+'General inputs'!$H$30)^'MP Calculations'!$C$40)</f>
        <v>6286.4446630527127</v>
      </c>
    </row>
    <row r="265" spans="3:17">
      <c r="C265" s="159"/>
      <c r="D265" s="165" t="s">
        <v>281</v>
      </c>
      <c r="E265" s="162">
        <v>28856</v>
      </c>
      <c r="F265" s="166" t="str">
        <f t="shared" si="10"/>
        <v>Date check - OK</v>
      </c>
      <c r="G265" s="68"/>
      <c r="H265" s="162" t="s">
        <v>293</v>
      </c>
      <c r="I265" s="173">
        <v>20414.77563211487</v>
      </c>
      <c r="J265" s="168">
        <f>IFERROR(MIN('MP Calculations'!$E$30/I265,1),"-")</f>
        <v>0.40513348981719682</v>
      </c>
      <c r="K265" s="12"/>
      <c r="L265" s="159">
        <v>24.244845000000002</v>
      </c>
      <c r="M265" s="187" t="s">
        <v>294</v>
      </c>
      <c r="N265" s="187">
        <v>192.78728599999999</v>
      </c>
      <c r="O265" s="186">
        <f t="shared" si="11"/>
        <v>4674.0978670406703</v>
      </c>
      <c r="P265" s="186">
        <f t="shared" si="12"/>
        <v>1893.6335806213028</v>
      </c>
      <c r="Q265" s="215">
        <f>IF(P265="-",0,P265/(1+'General inputs'!$H$30)^'MP Calculations'!$C$40)</f>
        <v>4206.3074532125465</v>
      </c>
    </row>
    <row r="266" spans="3:17">
      <c r="C266" s="159"/>
      <c r="D266" s="165" t="s">
        <v>281</v>
      </c>
      <c r="E266" s="162">
        <v>28856</v>
      </c>
      <c r="F266" s="166" t="str">
        <f t="shared" si="10"/>
        <v>Date check - OK</v>
      </c>
      <c r="G266" s="68"/>
      <c r="H266" s="162" t="s">
        <v>293</v>
      </c>
      <c r="I266" s="173">
        <v>20414.77563211487</v>
      </c>
      <c r="J266" s="168">
        <f>IFERROR(MIN('MP Calculations'!$E$30/I266,1),"-")</f>
        <v>0.40513348981719682</v>
      </c>
      <c r="K266" s="12"/>
      <c r="L266" s="159">
        <v>13.435110999999999</v>
      </c>
      <c r="M266" s="187" t="s">
        <v>294</v>
      </c>
      <c r="N266" s="187">
        <v>192.78728599999999</v>
      </c>
      <c r="O266" s="186">
        <f t="shared" si="11"/>
        <v>2590.1185867987456</v>
      </c>
      <c r="P266" s="186">
        <f t="shared" si="12"/>
        <v>1049.3437821101618</v>
      </c>
      <c r="Q266" s="215">
        <f>IF(P266="-",0,P266/(1+'General inputs'!$H$30)^'MP Calculations'!$C$40)</f>
        <v>2330.8958062647071</v>
      </c>
    </row>
    <row r="267" spans="3:17">
      <c r="C267" s="159"/>
      <c r="D267" s="165" t="s">
        <v>287</v>
      </c>
      <c r="E267" s="162">
        <v>29036</v>
      </c>
      <c r="F267" s="166" t="str">
        <f t="shared" si="10"/>
        <v>Date check - OK</v>
      </c>
      <c r="G267" s="68"/>
      <c r="H267" s="162" t="s">
        <v>293</v>
      </c>
      <c r="I267" s="173">
        <v>20414.77563211487</v>
      </c>
      <c r="J267" s="168">
        <f>IFERROR(MIN('MP Calculations'!$E$30/I267,1),"-")</f>
        <v>0.40513348981719682</v>
      </c>
      <c r="K267" s="12"/>
      <c r="L267" s="159">
        <v>1</v>
      </c>
      <c r="M267" s="187" t="s">
        <v>295</v>
      </c>
      <c r="N267" s="187">
        <v>129.96</v>
      </c>
      <c r="O267" s="186">
        <f t="shared" si="11"/>
        <v>129.96</v>
      </c>
      <c r="P267" s="186">
        <f t="shared" si="12"/>
        <v>52.651148336642905</v>
      </c>
      <c r="Q267" s="215">
        <f>IF(P267="-",0,P267/(1+'General inputs'!$H$30)^'MP Calculations'!$C$40)</f>
        <v>116.95341693082827</v>
      </c>
    </row>
    <row r="268" spans="3:17">
      <c r="C268" s="159"/>
      <c r="D268" s="165" t="s">
        <v>284</v>
      </c>
      <c r="E268" s="162">
        <v>29036</v>
      </c>
      <c r="F268" s="166" t="str">
        <f t="shared" si="10"/>
        <v>Date check - OK</v>
      </c>
      <c r="G268" s="68"/>
      <c r="H268" s="162" t="s">
        <v>293</v>
      </c>
      <c r="I268" s="173">
        <v>20414.77563211487</v>
      </c>
      <c r="J268" s="168">
        <f>IFERROR(MIN('MP Calculations'!$E$30/I268,1),"-")</f>
        <v>0.40513348981719682</v>
      </c>
      <c r="K268" s="12"/>
      <c r="L268" s="159">
        <v>1</v>
      </c>
      <c r="M268" s="187" t="s">
        <v>295</v>
      </c>
      <c r="N268" s="187">
        <v>157653.06</v>
      </c>
      <c r="O268" s="186">
        <f t="shared" si="11"/>
        <v>157653.06</v>
      </c>
      <c r="P268" s="186">
        <f t="shared" si="12"/>
        <v>63870.534378159922</v>
      </c>
      <c r="Q268" s="215">
        <f>IF(P268="-",0,P268/(1+'General inputs'!$H$30)^'MP Calculations'!$C$40)</f>
        <v>141874.91579409729</v>
      </c>
    </row>
    <row r="269" spans="3:17">
      <c r="C269" s="159"/>
      <c r="D269" s="165" t="s">
        <v>285</v>
      </c>
      <c r="E269" s="162">
        <v>29036</v>
      </c>
      <c r="F269" s="166" t="str">
        <f t="shared" si="10"/>
        <v>Date check - OK</v>
      </c>
      <c r="G269" s="68"/>
      <c r="H269" s="162" t="s">
        <v>293</v>
      </c>
      <c r="I269" s="173">
        <v>20414.77563211487</v>
      </c>
      <c r="J269" s="168">
        <f>IFERROR(MIN('MP Calculations'!$E$30/I269,1),"-")</f>
        <v>0.40513348981719682</v>
      </c>
      <c r="K269" s="12"/>
      <c r="L269" s="159">
        <v>1</v>
      </c>
      <c r="M269" s="187" t="s">
        <v>295</v>
      </c>
      <c r="N269" s="187">
        <v>283859.86</v>
      </c>
      <c r="O269" s="186">
        <f t="shared" si="11"/>
        <v>283859.86</v>
      </c>
      <c r="P269" s="186">
        <f t="shared" si="12"/>
        <v>115001.13570082092</v>
      </c>
      <c r="Q269" s="215">
        <f>IF(P269="-",0,P269/(1+'General inputs'!$H$30)^'MP Calculations'!$C$40)</f>
        <v>255450.758360315</v>
      </c>
    </row>
    <row r="270" spans="3:17">
      <c r="C270" s="159"/>
      <c r="D270" s="165" t="s">
        <v>286</v>
      </c>
      <c r="E270" s="162">
        <v>29036</v>
      </c>
      <c r="F270" s="166" t="str">
        <f t="shared" si="10"/>
        <v>Date check - OK</v>
      </c>
      <c r="G270" s="68"/>
      <c r="H270" s="162" t="s">
        <v>293</v>
      </c>
      <c r="I270" s="173">
        <v>20414.77563211487</v>
      </c>
      <c r="J270" s="168">
        <f>IFERROR(MIN('MP Calculations'!$E$30/I270,1),"-")</f>
        <v>0.40513348981719682</v>
      </c>
      <c r="K270" s="12"/>
      <c r="L270" s="159">
        <v>1</v>
      </c>
      <c r="M270" s="187" t="s">
        <v>295</v>
      </c>
      <c r="N270" s="187">
        <v>236051.74</v>
      </c>
      <c r="O270" s="186">
        <f t="shared" si="11"/>
        <v>236051.74</v>
      </c>
      <c r="P270" s="186">
        <f t="shared" si="12"/>
        <v>95632.465203621585</v>
      </c>
      <c r="Q270" s="215">
        <f>IF(P270="-",0,P270/(1+'General inputs'!$H$30)^'MP Calculations'!$C$40)</f>
        <v>212427.34353237509</v>
      </c>
    </row>
    <row r="271" spans="3:17">
      <c r="C271" s="159"/>
      <c r="D271" s="165" t="s">
        <v>283</v>
      </c>
      <c r="E271" s="162">
        <v>29301</v>
      </c>
      <c r="F271" s="166" t="str">
        <f t="shared" si="10"/>
        <v>Date check - OK</v>
      </c>
      <c r="G271" s="68"/>
      <c r="H271" s="162" t="s">
        <v>293</v>
      </c>
      <c r="I271" s="173">
        <v>20414.77563211487</v>
      </c>
      <c r="J271" s="168">
        <f>IFERROR(MIN('MP Calculations'!$E$30/I271,1),"-")</f>
        <v>0.40513348981719682</v>
      </c>
      <c r="K271" s="12"/>
      <c r="L271" s="159">
        <v>361.32171699999998</v>
      </c>
      <c r="M271" s="187" t="s">
        <v>294</v>
      </c>
      <c r="N271" s="187">
        <v>421.28581700000001</v>
      </c>
      <c r="O271" s="186">
        <f t="shared" si="11"/>
        <v>152219.71474618779</v>
      </c>
      <c r="P271" s="186">
        <f t="shared" si="12"/>
        <v>61669.304254101276</v>
      </c>
      <c r="Q271" s="215">
        <f>IF(P271="-",0,P271/(1+'General inputs'!$H$30)^'MP Calculations'!$C$40)</f>
        <v>136985.347520796</v>
      </c>
    </row>
    <row r="272" spans="3:17">
      <c r="C272" s="159"/>
      <c r="D272" s="165" t="s">
        <v>283</v>
      </c>
      <c r="E272" s="162">
        <v>29301</v>
      </c>
      <c r="F272" s="166" t="str">
        <f t="shared" si="10"/>
        <v>Date check - OK</v>
      </c>
      <c r="G272" s="68"/>
      <c r="H272" s="162" t="s">
        <v>293</v>
      </c>
      <c r="I272" s="173">
        <v>20414.77563211487</v>
      </c>
      <c r="J272" s="168">
        <f>IFERROR(MIN('MP Calculations'!$E$30/I272,1),"-")</f>
        <v>0.40513348981719682</v>
      </c>
      <c r="K272" s="12"/>
      <c r="L272" s="159">
        <v>144.41272799999999</v>
      </c>
      <c r="M272" s="187" t="s">
        <v>294</v>
      </c>
      <c r="N272" s="187">
        <v>421.28581700000001</v>
      </c>
      <c r="O272" s="186">
        <f t="shared" si="11"/>
        <v>60839.034100678771</v>
      </c>
      <c r="P272" s="186">
        <f t="shared" si="12"/>
        <v>24647.930202315434</v>
      </c>
      <c r="Q272" s="215">
        <f>IF(P272="-",0,P272/(1+'General inputs'!$H$30)^'MP Calculations'!$C$40)</f>
        <v>54750.17636846385</v>
      </c>
    </row>
    <row r="273" spans="3:17">
      <c r="C273" s="159"/>
      <c r="D273" s="165" t="s">
        <v>282</v>
      </c>
      <c r="E273" s="162">
        <v>29301</v>
      </c>
      <c r="F273" s="166" t="str">
        <f t="shared" si="10"/>
        <v>Date check - OK</v>
      </c>
      <c r="G273" s="68"/>
      <c r="H273" s="162" t="s">
        <v>293</v>
      </c>
      <c r="I273" s="173">
        <v>20414.77563211487</v>
      </c>
      <c r="J273" s="168">
        <f>IFERROR(MIN('MP Calculations'!$E$30/I273,1),"-")</f>
        <v>0.40513348981719682</v>
      </c>
      <c r="K273" s="12"/>
      <c r="L273" s="159">
        <v>6.2564510000000002</v>
      </c>
      <c r="M273" s="187" t="s">
        <v>294</v>
      </c>
      <c r="N273" s="187">
        <v>237.97403299999999</v>
      </c>
      <c r="O273" s="186">
        <f t="shared" si="11"/>
        <v>1488.872876736883</v>
      </c>
      <c r="P273" s="186">
        <f t="shared" si="12"/>
        <v>603.1922644465825</v>
      </c>
      <c r="Q273" s="215">
        <f>IF(P273="-",0,P273/(1+'General inputs'!$H$30)^'MP Calculations'!$C$40)</f>
        <v>1339.8643452601596</v>
      </c>
    </row>
    <row r="274" spans="3:17">
      <c r="C274" s="159"/>
      <c r="D274" s="165" t="s">
        <v>283</v>
      </c>
      <c r="E274" s="162">
        <v>29301</v>
      </c>
      <c r="F274" s="166" t="str">
        <f t="shared" si="10"/>
        <v>Date check - OK</v>
      </c>
      <c r="G274" s="68"/>
      <c r="H274" s="162" t="s">
        <v>293</v>
      </c>
      <c r="I274" s="173">
        <v>20414.77563211487</v>
      </c>
      <c r="J274" s="168">
        <f>IFERROR(MIN('MP Calculations'!$E$30/I274,1),"-")</f>
        <v>0.40513348981719682</v>
      </c>
      <c r="K274" s="12"/>
      <c r="L274" s="159">
        <v>0.77787399999999995</v>
      </c>
      <c r="M274" s="187" t="s">
        <v>294</v>
      </c>
      <c r="N274" s="187">
        <v>421.28581700000001</v>
      </c>
      <c r="O274" s="186">
        <f t="shared" si="11"/>
        <v>327.707283613058</v>
      </c>
      <c r="P274" s="186">
        <f t="shared" si="12"/>
        <v>132.76519544867207</v>
      </c>
      <c r="Q274" s="215">
        <f>IF(P274="-",0,P274/(1+'General inputs'!$H$30)^'MP Calculations'!$C$40)</f>
        <v>294.90986897250815</v>
      </c>
    </row>
    <row r="275" spans="3:17">
      <c r="C275" s="159"/>
      <c r="D275" s="165" t="s">
        <v>283</v>
      </c>
      <c r="E275" s="162">
        <v>29301</v>
      </c>
      <c r="F275" s="166" t="str">
        <f t="shared" si="10"/>
        <v>Date check - OK</v>
      </c>
      <c r="G275" s="68"/>
      <c r="H275" s="162" t="s">
        <v>293</v>
      </c>
      <c r="I275" s="173">
        <v>20414.77563211487</v>
      </c>
      <c r="J275" s="168">
        <f>IFERROR(MIN('MP Calculations'!$E$30/I275,1),"-")</f>
        <v>0.40513348981719682</v>
      </c>
      <c r="K275" s="12"/>
      <c r="L275" s="159">
        <v>10.631486000000001</v>
      </c>
      <c r="M275" s="187" t="s">
        <v>294</v>
      </c>
      <c r="N275" s="187">
        <v>421.28581700000001</v>
      </c>
      <c r="O275" s="186">
        <f t="shared" si="11"/>
        <v>4478.8942654340626</v>
      </c>
      <c r="P275" s="186">
        <f t="shared" si="12"/>
        <v>1814.5500642775321</v>
      </c>
      <c r="Q275" s="215">
        <f>IF(P275="-",0,P275/(1+'General inputs'!$H$30)^'MP Calculations'!$C$40)</f>
        <v>4030.640107836301</v>
      </c>
    </row>
    <row r="276" spans="3:17">
      <c r="C276" s="159"/>
      <c r="D276" s="165" t="s">
        <v>282</v>
      </c>
      <c r="E276" s="162">
        <v>29301</v>
      </c>
      <c r="F276" s="166" t="str">
        <f t="shared" si="10"/>
        <v>Date check - OK</v>
      </c>
      <c r="G276" s="68"/>
      <c r="H276" s="162" t="s">
        <v>293</v>
      </c>
      <c r="I276" s="173">
        <v>20414.77563211487</v>
      </c>
      <c r="J276" s="168">
        <f>IFERROR(MIN('MP Calculations'!$E$30/I276,1),"-")</f>
        <v>0.40513348981719682</v>
      </c>
      <c r="K276" s="12"/>
      <c r="L276" s="159">
        <v>0.42994199999999999</v>
      </c>
      <c r="M276" s="187" t="s">
        <v>294</v>
      </c>
      <c r="N276" s="187">
        <v>237.97403299999999</v>
      </c>
      <c r="O276" s="186">
        <f t="shared" si="11"/>
        <v>102.315031696086</v>
      </c>
      <c r="P276" s="186">
        <f t="shared" si="12"/>
        <v>41.451245851792429</v>
      </c>
      <c r="Q276" s="215">
        <f>IF(P276="-",0,P276/(1+'General inputs'!$H$30)^'MP Calculations'!$C$40)</f>
        <v>92.075196677772041</v>
      </c>
    </row>
    <row r="277" spans="3:17">
      <c r="C277" s="159"/>
      <c r="D277" s="165" t="s">
        <v>282</v>
      </c>
      <c r="E277" s="162">
        <v>29301</v>
      </c>
      <c r="F277" s="166" t="str">
        <f t="shared" si="10"/>
        <v>Date check - OK</v>
      </c>
      <c r="G277" s="68"/>
      <c r="H277" s="162" t="s">
        <v>293</v>
      </c>
      <c r="I277" s="173">
        <v>20414.77563211487</v>
      </c>
      <c r="J277" s="168">
        <f>IFERROR(MIN('MP Calculations'!$E$30/I277,1),"-")</f>
        <v>0.40513348981719682</v>
      </c>
      <c r="K277" s="12"/>
      <c r="L277" s="159">
        <v>1.3241510000000001</v>
      </c>
      <c r="M277" s="187" t="s">
        <v>294</v>
      </c>
      <c r="N277" s="187">
        <v>237.97403299999999</v>
      </c>
      <c r="O277" s="186">
        <f t="shared" si="11"/>
        <v>315.113553770983</v>
      </c>
      <c r="P277" s="186">
        <f t="shared" si="12"/>
        <v>127.66305372793725</v>
      </c>
      <c r="Q277" s="215">
        <f>IF(P277="-",0,P277/(1+'General inputs'!$H$30)^'MP Calculations'!$C$40)</f>
        <v>283.5765376633791</v>
      </c>
    </row>
    <row r="278" spans="3:17">
      <c r="C278" s="159"/>
      <c r="D278" s="165" t="s">
        <v>283</v>
      </c>
      <c r="E278" s="162">
        <v>29301</v>
      </c>
      <c r="F278" s="166" t="str">
        <f t="shared" si="10"/>
        <v>Date check - OK</v>
      </c>
      <c r="G278" s="68"/>
      <c r="H278" s="162" t="s">
        <v>293</v>
      </c>
      <c r="I278" s="173">
        <v>20414.77563211487</v>
      </c>
      <c r="J278" s="168">
        <f>IFERROR(MIN('MP Calculations'!$E$30/I278,1),"-")</f>
        <v>0.40513348981719682</v>
      </c>
      <c r="K278" s="12"/>
      <c r="L278" s="159">
        <v>21.961611000000001</v>
      </c>
      <c r="M278" s="187" t="s">
        <v>294</v>
      </c>
      <c r="N278" s="187">
        <v>421.28581700000001</v>
      </c>
      <c r="O278" s="186">
        <f t="shared" si="11"/>
        <v>9252.1152327711879</v>
      </c>
      <c r="P278" s="186">
        <f t="shared" si="12"/>
        <v>3748.3417324434376</v>
      </c>
      <c r="Q278" s="215">
        <f>IF(P278="-",0,P278/(1+'General inputs'!$H$30)^'MP Calculations'!$C$40)</f>
        <v>8326.1502793963973</v>
      </c>
    </row>
    <row r="279" spans="3:17">
      <c r="C279" s="159"/>
      <c r="D279" s="165" t="s">
        <v>283</v>
      </c>
      <c r="E279" s="162">
        <v>29301</v>
      </c>
      <c r="F279" s="166" t="str">
        <f t="shared" ref="F279:F342" si="13">IF(E279="","-",IF(OR(E279&lt;$E$15,E279&gt;$E$16),"ERROR - date outside of range","Date check - OK"))</f>
        <v>Date check - OK</v>
      </c>
      <c r="G279" s="68"/>
      <c r="H279" s="162" t="s">
        <v>293</v>
      </c>
      <c r="I279" s="173">
        <v>20414.77563211487</v>
      </c>
      <c r="J279" s="168">
        <f>IFERROR(MIN('MP Calculations'!$E$30/I279,1),"-")</f>
        <v>0.40513348981719682</v>
      </c>
      <c r="K279" s="12"/>
      <c r="L279" s="159">
        <v>0.76778400000000002</v>
      </c>
      <c r="M279" s="187" t="s">
        <v>294</v>
      </c>
      <c r="N279" s="187">
        <v>421.28581700000001</v>
      </c>
      <c r="O279" s="186">
        <f t="shared" ref="O279:O342" si="14">IF(N279="","-",L279*N279)</f>
        <v>323.45650971952801</v>
      </c>
      <c r="P279" s="186">
        <f t="shared" ref="P279:P342" si="15">IF(O279="-","-",IF(OR(E279&lt;$E$15,E279&gt;$E$16),0,O279*J279))</f>
        <v>131.04306458676243</v>
      </c>
      <c r="Q279" s="215">
        <f>IF(P279="-",0,P279/(1+'General inputs'!$H$30)^'MP Calculations'!$C$40)</f>
        <v>291.0845186227952</v>
      </c>
    </row>
    <row r="280" spans="3:17">
      <c r="C280" s="159"/>
      <c r="D280" s="165" t="s">
        <v>283</v>
      </c>
      <c r="E280" s="162">
        <v>29301</v>
      </c>
      <c r="F280" s="166" t="str">
        <f t="shared" si="13"/>
        <v>Date check - OK</v>
      </c>
      <c r="G280" s="68"/>
      <c r="H280" s="162" t="s">
        <v>293</v>
      </c>
      <c r="I280" s="173">
        <v>20414.77563211487</v>
      </c>
      <c r="J280" s="168">
        <f>IFERROR(MIN('MP Calculations'!$E$30/I280,1),"-")</f>
        <v>0.40513348981719682</v>
      </c>
      <c r="K280" s="12"/>
      <c r="L280" s="159">
        <v>0.58745099999999995</v>
      </c>
      <c r="M280" s="187" t="s">
        <v>294</v>
      </c>
      <c r="N280" s="187">
        <v>421.28581700000001</v>
      </c>
      <c r="O280" s="186">
        <f t="shared" si="14"/>
        <v>247.48477448246697</v>
      </c>
      <c r="P280" s="186">
        <f t="shared" si="15"/>
        <v>100.26437036270379</v>
      </c>
      <c r="Q280" s="215">
        <f>IF(P280="-",0,P280/(1+'General inputs'!$H$30)^'MP Calculations'!$C$40)</f>
        <v>222.71614353708807</v>
      </c>
    </row>
    <row r="281" spans="3:17">
      <c r="C281" s="159"/>
      <c r="D281" s="165" t="s">
        <v>282</v>
      </c>
      <c r="E281" s="162">
        <v>29301</v>
      </c>
      <c r="F281" s="166" t="str">
        <f t="shared" si="13"/>
        <v>Date check - OK</v>
      </c>
      <c r="G281" s="68"/>
      <c r="H281" s="162" t="s">
        <v>293</v>
      </c>
      <c r="I281" s="173">
        <v>20414.77563211487</v>
      </c>
      <c r="J281" s="168">
        <f>IFERROR(MIN('MP Calculations'!$E$30/I281,1),"-")</f>
        <v>0.40513348981719682</v>
      </c>
      <c r="K281" s="12"/>
      <c r="L281" s="159">
        <v>0.39423000000000002</v>
      </c>
      <c r="M281" s="187" t="s">
        <v>294</v>
      </c>
      <c r="N281" s="187">
        <v>237.97403299999999</v>
      </c>
      <c r="O281" s="186">
        <f t="shared" si="14"/>
        <v>93.81650302959001</v>
      </c>
      <c r="P281" s="186">
        <f t="shared" si="15"/>
        <v>38.00820727482342</v>
      </c>
      <c r="Q281" s="215">
        <f>IF(P281="-",0,P281/(1+'General inputs'!$H$30)^'MP Calculations'!$C$40)</f>
        <v>84.427212940996867</v>
      </c>
    </row>
    <row r="282" spans="3:17">
      <c r="C282" s="159"/>
      <c r="D282" s="165" t="s">
        <v>283</v>
      </c>
      <c r="E282" s="162">
        <v>29301</v>
      </c>
      <c r="F282" s="166" t="str">
        <f t="shared" si="13"/>
        <v>Date check - OK</v>
      </c>
      <c r="G282" s="68"/>
      <c r="H282" s="162" t="s">
        <v>293</v>
      </c>
      <c r="I282" s="173">
        <v>20414.77563211487</v>
      </c>
      <c r="J282" s="168">
        <f>IFERROR(MIN('MP Calculations'!$E$30/I282,1),"-")</f>
        <v>0.40513348981719682</v>
      </c>
      <c r="K282" s="12"/>
      <c r="L282" s="159">
        <v>12.75821</v>
      </c>
      <c r="M282" s="187" t="s">
        <v>294</v>
      </c>
      <c r="N282" s="187">
        <v>421.28581700000001</v>
      </c>
      <c r="O282" s="186">
        <f t="shared" si="14"/>
        <v>5374.8529233075706</v>
      </c>
      <c r="P282" s="186">
        <f t="shared" si="15"/>
        <v>2177.5329220737581</v>
      </c>
      <c r="Q282" s="215">
        <f>IF(P282="-",0,P282/(1+'General inputs'!$H$30)^'MP Calculations'!$C$40)</f>
        <v>4836.9299390694932</v>
      </c>
    </row>
    <row r="283" spans="3:17">
      <c r="C283" s="159"/>
      <c r="D283" s="165" t="s">
        <v>283</v>
      </c>
      <c r="E283" s="162">
        <v>29301</v>
      </c>
      <c r="F283" s="166" t="str">
        <f t="shared" si="13"/>
        <v>Date check - OK</v>
      </c>
      <c r="G283" s="68"/>
      <c r="H283" s="162" t="s">
        <v>293</v>
      </c>
      <c r="I283" s="173">
        <v>20414.77563211487</v>
      </c>
      <c r="J283" s="168">
        <f>IFERROR(MIN('MP Calculations'!$E$30/I283,1),"-")</f>
        <v>0.40513348981719682</v>
      </c>
      <c r="K283" s="12"/>
      <c r="L283" s="159">
        <v>0.90373700000000001</v>
      </c>
      <c r="M283" s="187" t="s">
        <v>294</v>
      </c>
      <c r="N283" s="187">
        <v>421.28581700000001</v>
      </c>
      <c r="O283" s="186">
        <f t="shared" si="14"/>
        <v>380.73158039812904</v>
      </c>
      <c r="P283" s="186">
        <f t="shared" si="15"/>
        <v>154.24711385031065</v>
      </c>
      <c r="Q283" s="215">
        <f>IF(P283="-",0,P283/(1+'General inputs'!$H$30)^'MP Calculations'!$C$40)</f>
        <v>342.62741813662313</v>
      </c>
    </row>
    <row r="284" spans="3:17">
      <c r="C284" s="159"/>
      <c r="D284" s="165" t="s">
        <v>283</v>
      </c>
      <c r="E284" s="162">
        <v>29301</v>
      </c>
      <c r="F284" s="166" t="str">
        <f t="shared" si="13"/>
        <v>Date check - OK</v>
      </c>
      <c r="G284" s="68"/>
      <c r="H284" s="162" t="s">
        <v>293</v>
      </c>
      <c r="I284" s="173">
        <v>20414.77563211487</v>
      </c>
      <c r="J284" s="168">
        <f>IFERROR(MIN('MP Calculations'!$E$30/I284,1),"-")</f>
        <v>0.40513348981719682</v>
      </c>
      <c r="K284" s="12"/>
      <c r="L284" s="159">
        <v>98.364920999999995</v>
      </c>
      <c r="M284" s="187" t="s">
        <v>294</v>
      </c>
      <c r="N284" s="187">
        <v>421.28581700000001</v>
      </c>
      <c r="O284" s="186">
        <f t="shared" si="14"/>
        <v>41439.746107625455</v>
      </c>
      <c r="P284" s="186">
        <f t="shared" si="15"/>
        <v>16788.628957720899</v>
      </c>
      <c r="Q284" s="215">
        <f>IF(P284="-",0,P284/(1+'General inputs'!$H$30)^'MP Calculations'!$C$40)</f>
        <v>37292.39692238217</v>
      </c>
    </row>
    <row r="285" spans="3:17">
      <c r="C285" s="159"/>
      <c r="D285" s="165" t="s">
        <v>283</v>
      </c>
      <c r="E285" s="162">
        <v>29301</v>
      </c>
      <c r="F285" s="166" t="str">
        <f t="shared" si="13"/>
        <v>Date check - OK</v>
      </c>
      <c r="G285" s="68"/>
      <c r="H285" s="162" t="s">
        <v>293</v>
      </c>
      <c r="I285" s="173">
        <v>20414.77563211487</v>
      </c>
      <c r="J285" s="168">
        <f>IFERROR(MIN('MP Calculations'!$E$30/I285,1),"-")</f>
        <v>0.40513348981719682</v>
      </c>
      <c r="K285" s="12"/>
      <c r="L285" s="159">
        <v>31.068587000000001</v>
      </c>
      <c r="M285" s="187" t="s">
        <v>294</v>
      </c>
      <c r="N285" s="187">
        <v>421.28581700000001</v>
      </c>
      <c r="O285" s="186">
        <f t="shared" si="14"/>
        <v>13088.75505733058</v>
      </c>
      <c r="P285" s="186">
        <f t="shared" si="15"/>
        <v>5302.6930137388217</v>
      </c>
      <c r="Q285" s="215">
        <f>IF(P285="-",0,P285/(1+'General inputs'!$H$30)^'MP Calculations'!$C$40)</f>
        <v>11778.813691331718</v>
      </c>
    </row>
    <row r="286" spans="3:17">
      <c r="C286" s="159"/>
      <c r="D286" s="165" t="s">
        <v>283</v>
      </c>
      <c r="E286" s="162">
        <v>29301</v>
      </c>
      <c r="F286" s="166" t="str">
        <f t="shared" si="13"/>
        <v>Date check - OK</v>
      </c>
      <c r="G286" s="68"/>
      <c r="H286" s="162" t="s">
        <v>293</v>
      </c>
      <c r="I286" s="173">
        <v>20414.77563211487</v>
      </c>
      <c r="J286" s="168">
        <f>IFERROR(MIN('MP Calculations'!$E$30/I286,1),"-")</f>
        <v>0.40513348981719682</v>
      </c>
      <c r="K286" s="12"/>
      <c r="L286" s="159">
        <v>156.16488200000001</v>
      </c>
      <c r="M286" s="187" t="s">
        <v>294</v>
      </c>
      <c r="N286" s="187">
        <v>421.28581700000001</v>
      </c>
      <c r="O286" s="186">
        <f t="shared" si="14"/>
        <v>65790.049900078593</v>
      </c>
      <c r="P286" s="186">
        <f t="shared" si="15"/>
        <v>26653.752511266361</v>
      </c>
      <c r="Q286" s="215">
        <f>IF(P286="-",0,P286/(1+'General inputs'!$H$30)^'MP Calculations'!$C$40)</f>
        <v>59205.687410463892</v>
      </c>
    </row>
    <row r="287" spans="3:17">
      <c r="C287" s="159"/>
      <c r="D287" s="165" t="s">
        <v>283</v>
      </c>
      <c r="E287" s="162">
        <v>29301</v>
      </c>
      <c r="F287" s="166" t="str">
        <f t="shared" si="13"/>
        <v>Date check - OK</v>
      </c>
      <c r="G287" s="68"/>
      <c r="H287" s="162" t="s">
        <v>293</v>
      </c>
      <c r="I287" s="173">
        <v>20414.77563211487</v>
      </c>
      <c r="J287" s="168">
        <f>IFERROR(MIN('MP Calculations'!$E$30/I287,1),"-")</f>
        <v>0.40513348981719682</v>
      </c>
      <c r="K287" s="12"/>
      <c r="L287" s="159">
        <v>0.91701500000000002</v>
      </c>
      <c r="M287" s="187" t="s">
        <v>294</v>
      </c>
      <c r="N287" s="187">
        <v>421.28581700000001</v>
      </c>
      <c r="O287" s="186">
        <f t="shared" si="14"/>
        <v>386.32541347625499</v>
      </c>
      <c r="P287" s="186">
        <f t="shared" si="15"/>
        <v>156.51336296670669</v>
      </c>
      <c r="Q287" s="215">
        <f>IF(P287="-",0,P287/(1+'General inputs'!$H$30)^'MP Calculations'!$C$40)</f>
        <v>347.66141238275674</v>
      </c>
    </row>
    <row r="288" spans="3:17">
      <c r="C288" s="159"/>
      <c r="D288" s="165" t="s">
        <v>288</v>
      </c>
      <c r="E288" s="162">
        <v>29301</v>
      </c>
      <c r="F288" s="166" t="str">
        <f t="shared" si="13"/>
        <v>Date check - OK</v>
      </c>
      <c r="G288" s="68"/>
      <c r="H288" s="162" t="s">
        <v>293</v>
      </c>
      <c r="I288" s="173">
        <v>20414.77563211487</v>
      </c>
      <c r="J288" s="168">
        <f>IFERROR(MIN('MP Calculations'!$E$30/I288,1),"-")</f>
        <v>0.40513348981719682</v>
      </c>
      <c r="K288" s="12"/>
      <c r="L288" s="159">
        <v>0.49992500000000001</v>
      </c>
      <c r="M288" s="187" t="s">
        <v>294</v>
      </c>
      <c r="N288" s="187">
        <v>315.45229399999999</v>
      </c>
      <c r="O288" s="186">
        <f t="shared" si="14"/>
        <v>157.70248807794999</v>
      </c>
      <c r="P288" s="186">
        <f t="shared" si="15"/>
        <v>63.890559347874756</v>
      </c>
      <c r="Q288" s="215">
        <f>IF(P288="-",0,P288/(1+'General inputs'!$H$30)^'MP Calculations'!$C$40)</f>
        <v>141.91939703916171</v>
      </c>
    </row>
    <row r="289" spans="3:17">
      <c r="C289" s="159"/>
      <c r="D289" s="165" t="s">
        <v>288</v>
      </c>
      <c r="E289" s="162">
        <v>29301</v>
      </c>
      <c r="F289" s="166" t="str">
        <f t="shared" si="13"/>
        <v>Date check - OK</v>
      </c>
      <c r="G289" s="68"/>
      <c r="H289" s="162" t="s">
        <v>293</v>
      </c>
      <c r="I289" s="173">
        <v>20414.77563211487</v>
      </c>
      <c r="J289" s="168">
        <f>IFERROR(MIN('MP Calculations'!$E$30/I289,1),"-")</f>
        <v>0.40513348981719682</v>
      </c>
      <c r="K289" s="12"/>
      <c r="L289" s="159">
        <v>0.89972600000000003</v>
      </c>
      <c r="M289" s="187" t="s">
        <v>294</v>
      </c>
      <c r="N289" s="187">
        <v>315.45229399999999</v>
      </c>
      <c r="O289" s="186">
        <f t="shared" si="14"/>
        <v>283.82063067144401</v>
      </c>
      <c r="P289" s="186">
        <f t="shared" si="15"/>
        <v>114.98524258603985</v>
      </c>
      <c r="Q289" s="215">
        <f>IF(P289="-",0,P289/(1+'General inputs'!$H$30)^'MP Calculations'!$C$40)</f>
        <v>255.41545515918756</v>
      </c>
    </row>
    <row r="290" spans="3:17">
      <c r="C290" s="159"/>
      <c r="D290" s="165" t="s">
        <v>288</v>
      </c>
      <c r="E290" s="162">
        <v>29301</v>
      </c>
      <c r="F290" s="166" t="str">
        <f t="shared" si="13"/>
        <v>Date check - OK</v>
      </c>
      <c r="G290" s="68"/>
      <c r="H290" s="162" t="s">
        <v>293</v>
      </c>
      <c r="I290" s="173">
        <v>20414.77563211487</v>
      </c>
      <c r="J290" s="168">
        <f>IFERROR(MIN('MP Calculations'!$E$30/I290,1),"-")</f>
        <v>0.40513348981719682</v>
      </c>
      <c r="K290" s="12"/>
      <c r="L290" s="159">
        <v>2.1994929999999999</v>
      </c>
      <c r="M290" s="187" t="s">
        <v>294</v>
      </c>
      <c r="N290" s="187">
        <v>315.45229399999999</v>
      </c>
      <c r="O290" s="186">
        <f t="shared" si="14"/>
        <v>693.83511248694197</v>
      </c>
      <c r="P290" s="186">
        <f t="shared" si="15"/>
        <v>281.09584047954212</v>
      </c>
      <c r="Q290" s="215">
        <f>IF(P290="-",0,P290/(1+'General inputs'!$H$30)^'MP Calculations'!$C$40)</f>
        <v>624.39509996870913</v>
      </c>
    </row>
    <row r="291" spans="3:17">
      <c r="C291" s="159"/>
      <c r="D291" s="165" t="s">
        <v>289</v>
      </c>
      <c r="E291" s="162">
        <v>29301</v>
      </c>
      <c r="F291" s="166" t="str">
        <f t="shared" si="13"/>
        <v>Date check - OK</v>
      </c>
      <c r="G291" s="68"/>
      <c r="H291" s="162" t="s">
        <v>293</v>
      </c>
      <c r="I291" s="173">
        <v>20414.77563211487</v>
      </c>
      <c r="J291" s="168">
        <f>IFERROR(MIN('MP Calculations'!$E$30/I291,1),"-")</f>
        <v>0.40513348981719682</v>
      </c>
      <c r="K291" s="12"/>
      <c r="L291" s="159">
        <v>0.24095900000000001</v>
      </c>
      <c r="M291" s="187" t="s">
        <v>294</v>
      </c>
      <c r="N291" s="187">
        <v>560.03424299999995</v>
      </c>
      <c r="O291" s="186">
        <f t="shared" si="14"/>
        <v>134.945291159037</v>
      </c>
      <c r="P291" s="186">
        <f t="shared" si="15"/>
        <v>54.670856741658376</v>
      </c>
      <c r="Q291" s="215">
        <f>IF(P291="-",0,P291/(1+'General inputs'!$H$30)^'MP Calculations'!$C$40)</f>
        <v>121.43977300534677</v>
      </c>
    </row>
    <row r="292" spans="3:17">
      <c r="C292" s="159"/>
      <c r="D292" s="165" t="s">
        <v>289</v>
      </c>
      <c r="E292" s="162">
        <v>29301</v>
      </c>
      <c r="F292" s="166" t="str">
        <f t="shared" si="13"/>
        <v>Date check - OK</v>
      </c>
      <c r="G292" s="68"/>
      <c r="H292" s="162" t="s">
        <v>293</v>
      </c>
      <c r="I292" s="173">
        <v>20414.77563211487</v>
      </c>
      <c r="J292" s="168">
        <f>IFERROR(MIN('MP Calculations'!$E$30/I292,1),"-")</f>
        <v>0.40513348981719682</v>
      </c>
      <c r="K292" s="12"/>
      <c r="L292" s="159">
        <v>0.52169900000000002</v>
      </c>
      <c r="M292" s="187" t="s">
        <v>294</v>
      </c>
      <c r="N292" s="187">
        <v>560.03424299999995</v>
      </c>
      <c r="O292" s="186">
        <f t="shared" si="14"/>
        <v>292.16930453885698</v>
      </c>
      <c r="P292" s="186">
        <f t="shared" si="15"/>
        <v>118.36756996529049</v>
      </c>
      <c r="Q292" s="215">
        <f>IF(P292="-",0,P292/(1+'General inputs'!$H$30)^'MP Calculations'!$C$40)</f>
        <v>262.92858177995589</v>
      </c>
    </row>
    <row r="293" spans="3:17">
      <c r="C293" s="159"/>
      <c r="D293" s="165" t="s">
        <v>289</v>
      </c>
      <c r="E293" s="162">
        <v>29301</v>
      </c>
      <c r="F293" s="166" t="str">
        <f t="shared" si="13"/>
        <v>Date check - OK</v>
      </c>
      <c r="G293" s="68"/>
      <c r="H293" s="162" t="s">
        <v>293</v>
      </c>
      <c r="I293" s="173">
        <v>20414.77563211487</v>
      </c>
      <c r="J293" s="168">
        <f>IFERROR(MIN('MP Calculations'!$E$30/I293,1),"-")</f>
        <v>0.40513348981719682</v>
      </c>
      <c r="K293" s="12"/>
      <c r="L293" s="159">
        <v>50.418523999999998</v>
      </c>
      <c r="M293" s="187" t="s">
        <v>294</v>
      </c>
      <c r="N293" s="187">
        <v>560.03424299999995</v>
      </c>
      <c r="O293" s="186">
        <f t="shared" si="14"/>
        <v>28236.099921517329</v>
      </c>
      <c r="P293" s="186">
        <f t="shared" si="15"/>
        <v>11439.389700031392</v>
      </c>
      <c r="Q293" s="215">
        <f>IF(P293="-",0,P293/(1+'General inputs'!$H$30)^'MP Calculations'!$C$40)</f>
        <v>25410.190571112209</v>
      </c>
    </row>
    <row r="294" spans="3:17">
      <c r="C294" s="159"/>
      <c r="D294" s="165" t="s">
        <v>289</v>
      </c>
      <c r="E294" s="162">
        <v>29301</v>
      </c>
      <c r="F294" s="166" t="str">
        <f t="shared" si="13"/>
        <v>Date check - OK</v>
      </c>
      <c r="G294" s="68"/>
      <c r="H294" s="162" t="s">
        <v>293</v>
      </c>
      <c r="I294" s="173">
        <v>20414.77563211487</v>
      </c>
      <c r="J294" s="168">
        <f>IFERROR(MIN('MP Calculations'!$E$30/I294,1),"-")</f>
        <v>0.40513348981719682</v>
      </c>
      <c r="K294" s="12"/>
      <c r="L294" s="159">
        <v>1.23359</v>
      </c>
      <c r="M294" s="187" t="s">
        <v>294</v>
      </c>
      <c r="N294" s="187">
        <v>560.03424299999995</v>
      </c>
      <c r="O294" s="186">
        <f t="shared" si="14"/>
        <v>690.85264182236995</v>
      </c>
      <c r="P294" s="186">
        <f t="shared" si="15"/>
        <v>279.88754173092661</v>
      </c>
      <c r="Q294" s="215">
        <f>IF(P294="-",0,P294/(1+'General inputs'!$H$30)^'MP Calculations'!$C$40)</f>
        <v>621.71111924296542</v>
      </c>
    </row>
    <row r="295" spans="3:17">
      <c r="C295" s="159"/>
      <c r="D295" s="165" t="s">
        <v>281</v>
      </c>
      <c r="E295" s="162">
        <v>29587</v>
      </c>
      <c r="F295" s="166" t="str">
        <f t="shared" si="13"/>
        <v>Date check - OK</v>
      </c>
      <c r="G295" s="68"/>
      <c r="H295" s="162" t="s">
        <v>293</v>
      </c>
      <c r="I295" s="173">
        <v>20414.77563211487</v>
      </c>
      <c r="J295" s="168">
        <f>IFERROR(MIN('MP Calculations'!$E$30/I295,1),"-")</f>
        <v>0.40513348981719682</v>
      </c>
      <c r="K295" s="12"/>
      <c r="L295" s="159">
        <v>16.495632000000001</v>
      </c>
      <c r="M295" s="187" t="s">
        <v>294</v>
      </c>
      <c r="N295" s="187">
        <v>192.78728599999999</v>
      </c>
      <c r="O295" s="186">
        <f t="shared" si="14"/>
        <v>3180.1481241347519</v>
      </c>
      <c r="P295" s="186">
        <f t="shared" si="15"/>
        <v>1288.384507666324</v>
      </c>
      <c r="Q295" s="215">
        <f>IF(P295="-",0,P295/(1+'General inputs'!$H$30)^'MP Calculations'!$C$40)</f>
        <v>2861.8743418261233</v>
      </c>
    </row>
    <row r="296" spans="3:17">
      <c r="C296" s="159"/>
      <c r="D296" s="165" t="s">
        <v>281</v>
      </c>
      <c r="E296" s="162">
        <v>29587</v>
      </c>
      <c r="F296" s="166" t="str">
        <f t="shared" si="13"/>
        <v>Date check - OK</v>
      </c>
      <c r="G296" s="68"/>
      <c r="H296" s="162" t="s">
        <v>293</v>
      </c>
      <c r="I296" s="173">
        <v>20414.77563211487</v>
      </c>
      <c r="J296" s="168">
        <f>IFERROR(MIN('MP Calculations'!$E$30/I296,1),"-")</f>
        <v>0.40513348981719682</v>
      </c>
      <c r="K296" s="12"/>
      <c r="L296" s="159">
        <v>104.076776</v>
      </c>
      <c r="M296" s="187" t="s">
        <v>294</v>
      </c>
      <c r="N296" s="187">
        <v>192.78728599999999</v>
      </c>
      <c r="O296" s="186">
        <f t="shared" si="14"/>
        <v>20064.679180669933</v>
      </c>
      <c r="P296" s="186">
        <f t="shared" si="15"/>
        <v>8128.8734985272631</v>
      </c>
      <c r="Q296" s="215">
        <f>IF(P296="-",0,P296/(1+'General inputs'!$H$30)^'MP Calculations'!$C$40)</f>
        <v>18056.577329949214</v>
      </c>
    </row>
    <row r="297" spans="3:17">
      <c r="C297" s="159"/>
      <c r="D297" s="165" t="s">
        <v>281</v>
      </c>
      <c r="E297" s="162">
        <v>29587</v>
      </c>
      <c r="F297" s="166" t="str">
        <f t="shared" si="13"/>
        <v>Date check - OK</v>
      </c>
      <c r="G297" s="68"/>
      <c r="H297" s="162" t="s">
        <v>293</v>
      </c>
      <c r="I297" s="173">
        <v>20414.77563211487</v>
      </c>
      <c r="J297" s="168">
        <f>IFERROR(MIN('MP Calculations'!$E$30/I297,1),"-")</f>
        <v>0.40513348981719682</v>
      </c>
      <c r="K297" s="12"/>
      <c r="L297" s="159">
        <v>252.48443700000001</v>
      </c>
      <c r="M297" s="187" t="s">
        <v>294</v>
      </c>
      <c r="N297" s="187">
        <v>192.78728599999999</v>
      </c>
      <c r="O297" s="186">
        <f t="shared" si="14"/>
        <v>48675.789366467987</v>
      </c>
      <c r="P297" s="186">
        <f t="shared" si="15"/>
        <v>19720.192415643975</v>
      </c>
      <c r="Q297" s="215">
        <f>IF(P297="-",0,P297/(1+'General inputs'!$H$30)^'MP Calculations'!$C$40)</f>
        <v>43804.24660059793</v>
      </c>
    </row>
    <row r="298" spans="3:17">
      <c r="C298" s="159"/>
      <c r="D298" s="165" t="s">
        <v>281</v>
      </c>
      <c r="E298" s="162">
        <v>29587</v>
      </c>
      <c r="F298" s="166" t="str">
        <f t="shared" si="13"/>
        <v>Date check - OK</v>
      </c>
      <c r="G298" s="68"/>
      <c r="H298" s="162" t="s">
        <v>293</v>
      </c>
      <c r="I298" s="173">
        <v>20414.77563211487</v>
      </c>
      <c r="J298" s="168">
        <f>IFERROR(MIN('MP Calculations'!$E$30/I298,1),"-")</f>
        <v>0.40513348981719682</v>
      </c>
      <c r="K298" s="12"/>
      <c r="L298" s="159">
        <v>16.302976999999998</v>
      </c>
      <c r="M298" s="187" t="s">
        <v>294</v>
      </c>
      <c r="N298" s="187">
        <v>192.78728599999999</v>
      </c>
      <c r="O298" s="186">
        <f t="shared" si="14"/>
        <v>3143.0066895504215</v>
      </c>
      <c r="P298" s="186">
        <f t="shared" si="15"/>
        <v>1273.3372686563571</v>
      </c>
      <c r="Q298" s="215">
        <f>IF(P298="-",0,P298/(1+'General inputs'!$H$30)^'MP Calculations'!$C$40)</f>
        <v>2828.4500752490976</v>
      </c>
    </row>
    <row r="299" spans="3:17">
      <c r="C299" s="159"/>
      <c r="D299" s="165" t="s">
        <v>281</v>
      </c>
      <c r="E299" s="162">
        <v>29587</v>
      </c>
      <c r="F299" s="166" t="str">
        <f t="shared" si="13"/>
        <v>Date check - OK</v>
      </c>
      <c r="G299" s="68"/>
      <c r="H299" s="162" t="s">
        <v>293</v>
      </c>
      <c r="I299" s="173">
        <v>20414.77563211487</v>
      </c>
      <c r="J299" s="168">
        <f>IFERROR(MIN('MP Calculations'!$E$30/I299,1),"-")</f>
        <v>0.40513348981719682</v>
      </c>
      <c r="K299" s="12"/>
      <c r="L299" s="159">
        <v>72.203194999999994</v>
      </c>
      <c r="M299" s="187" t="s">
        <v>294</v>
      </c>
      <c r="N299" s="187">
        <v>192.78728599999999</v>
      </c>
      <c r="O299" s="186">
        <f t="shared" si="14"/>
        <v>13919.858004578768</v>
      </c>
      <c r="P299" s="186">
        <f t="shared" si="15"/>
        <v>5639.4006511548378</v>
      </c>
      <c r="Q299" s="215">
        <f>IF(P299="-",0,P299/(1+'General inputs'!$H$30)^'MP Calculations'!$C$40)</f>
        <v>12526.738664415418</v>
      </c>
    </row>
    <row r="300" spans="3:17">
      <c r="C300" s="159"/>
      <c r="D300" s="165" t="s">
        <v>281</v>
      </c>
      <c r="E300" s="162">
        <v>29587</v>
      </c>
      <c r="F300" s="166" t="str">
        <f t="shared" si="13"/>
        <v>Date check - OK</v>
      </c>
      <c r="G300" s="68"/>
      <c r="H300" s="162" t="s">
        <v>293</v>
      </c>
      <c r="I300" s="173">
        <v>20414.77563211487</v>
      </c>
      <c r="J300" s="168">
        <f>IFERROR(MIN('MP Calculations'!$E$30/I300,1),"-")</f>
        <v>0.40513348981719682</v>
      </c>
      <c r="K300" s="12"/>
      <c r="L300" s="159">
        <v>19.013197000000002</v>
      </c>
      <c r="M300" s="187" t="s">
        <v>294</v>
      </c>
      <c r="N300" s="187">
        <v>192.78728599999999</v>
      </c>
      <c r="O300" s="186">
        <f t="shared" si="14"/>
        <v>3665.5026478133423</v>
      </c>
      <c r="P300" s="186">
        <f t="shared" si="15"/>
        <v>1485.0178796427947</v>
      </c>
      <c r="Q300" s="215">
        <f>IF(P300="-",0,P300/(1+'General inputs'!$H$30)^'MP Calculations'!$C$40)</f>
        <v>3298.6538891256446</v>
      </c>
    </row>
    <row r="301" spans="3:17">
      <c r="C301" s="159"/>
      <c r="D301" s="165" t="s">
        <v>281</v>
      </c>
      <c r="E301" s="162">
        <v>29587</v>
      </c>
      <c r="F301" s="166" t="str">
        <f t="shared" si="13"/>
        <v>Date check - OK</v>
      </c>
      <c r="G301" s="68"/>
      <c r="H301" s="162" t="s">
        <v>293</v>
      </c>
      <c r="I301" s="173">
        <v>20414.77563211487</v>
      </c>
      <c r="J301" s="168">
        <f>IFERROR(MIN('MP Calculations'!$E$30/I301,1),"-")</f>
        <v>0.40513348981719682</v>
      </c>
      <c r="K301" s="12"/>
      <c r="L301" s="159">
        <v>2.3354439999999999</v>
      </c>
      <c r="M301" s="187" t="s">
        <v>294</v>
      </c>
      <c r="N301" s="187">
        <v>192.78728599999999</v>
      </c>
      <c r="O301" s="186">
        <f t="shared" si="14"/>
        <v>450.24391036498395</v>
      </c>
      <c r="P301" s="186">
        <f t="shared" si="15"/>
        <v>182.40888667510711</v>
      </c>
      <c r="Q301" s="215">
        <f>IF(P301="-",0,P301/(1+'General inputs'!$H$30)^'MP Calculations'!$C$40)</f>
        <v>405.18285448970789</v>
      </c>
    </row>
    <row r="302" spans="3:17">
      <c r="C302" s="159"/>
      <c r="D302" s="165" t="s">
        <v>281</v>
      </c>
      <c r="E302" s="162">
        <v>29587</v>
      </c>
      <c r="F302" s="166" t="str">
        <f t="shared" si="13"/>
        <v>Date check - OK</v>
      </c>
      <c r="G302" s="68"/>
      <c r="H302" s="162" t="s">
        <v>293</v>
      </c>
      <c r="I302" s="173">
        <v>20414.77563211487</v>
      </c>
      <c r="J302" s="168">
        <f>IFERROR(MIN('MP Calculations'!$E$30/I302,1),"-")</f>
        <v>0.40513348981719682</v>
      </c>
      <c r="K302" s="12"/>
      <c r="L302" s="159">
        <v>116.042169</v>
      </c>
      <c r="M302" s="187" t="s">
        <v>294</v>
      </c>
      <c r="N302" s="187">
        <v>192.78728599999999</v>
      </c>
      <c r="O302" s="186">
        <f t="shared" si="14"/>
        <v>22371.454823063334</v>
      </c>
      <c r="P302" s="186">
        <f t="shared" si="15"/>
        <v>9063.4255647554073</v>
      </c>
      <c r="Q302" s="215">
        <f>IF(P302="-",0,P302/(1+'General inputs'!$H$30)^'MP Calculations'!$C$40)</f>
        <v>20132.487559794663</v>
      </c>
    </row>
    <row r="303" spans="3:17">
      <c r="C303" s="159"/>
      <c r="D303" s="165" t="s">
        <v>281</v>
      </c>
      <c r="E303" s="162">
        <v>29587</v>
      </c>
      <c r="F303" s="166" t="str">
        <f t="shared" si="13"/>
        <v>Date check - OK</v>
      </c>
      <c r="G303" s="68"/>
      <c r="H303" s="162" t="s">
        <v>293</v>
      </c>
      <c r="I303" s="173">
        <v>20414.77563211487</v>
      </c>
      <c r="J303" s="168">
        <f>IFERROR(MIN('MP Calculations'!$E$30/I303,1),"-")</f>
        <v>0.40513348981719682</v>
      </c>
      <c r="K303" s="12"/>
      <c r="L303" s="159">
        <v>0.26686700000000002</v>
      </c>
      <c r="M303" s="187" t="s">
        <v>294</v>
      </c>
      <c r="N303" s="187">
        <v>192.78728599999999</v>
      </c>
      <c r="O303" s="186">
        <f t="shared" si="14"/>
        <v>51.448564652962006</v>
      </c>
      <c r="P303" s="186">
        <f t="shared" si="15"/>
        <v>20.843536543940175</v>
      </c>
      <c r="Q303" s="215">
        <f>IF(P303="-",0,P303/(1+'General inputs'!$H$30)^'MP Calculations'!$C$40)</f>
        <v>46.299518562254065</v>
      </c>
    </row>
    <row r="304" spans="3:17">
      <c r="C304" s="159"/>
      <c r="D304" s="165" t="s">
        <v>281</v>
      </c>
      <c r="E304" s="162">
        <v>29587</v>
      </c>
      <c r="F304" s="166" t="str">
        <f t="shared" si="13"/>
        <v>Date check - OK</v>
      </c>
      <c r="G304" s="68"/>
      <c r="H304" s="162" t="s">
        <v>293</v>
      </c>
      <c r="I304" s="173">
        <v>20414.77563211487</v>
      </c>
      <c r="J304" s="168">
        <f>IFERROR(MIN('MP Calculations'!$E$30/I304,1),"-")</f>
        <v>0.40513348981719682</v>
      </c>
      <c r="K304" s="12"/>
      <c r="L304" s="159">
        <v>153.79665299999999</v>
      </c>
      <c r="M304" s="187" t="s">
        <v>294</v>
      </c>
      <c r="N304" s="187">
        <v>192.78728599999999</v>
      </c>
      <c r="O304" s="186">
        <f t="shared" si="14"/>
        <v>29650.039327753755</v>
      </c>
      <c r="P304" s="186">
        <f t="shared" si="15"/>
        <v>12012.223906070012</v>
      </c>
      <c r="Q304" s="215">
        <f>IF(P304="-",0,P304/(1+'General inputs'!$H$30)^'MP Calculations'!$C$40)</f>
        <v>26682.620895000306</v>
      </c>
    </row>
    <row r="305" spans="3:17">
      <c r="C305" s="159"/>
      <c r="D305" s="165" t="s">
        <v>281</v>
      </c>
      <c r="E305" s="162">
        <v>29587</v>
      </c>
      <c r="F305" s="166" t="str">
        <f t="shared" si="13"/>
        <v>Date check - OK</v>
      </c>
      <c r="G305" s="68"/>
      <c r="H305" s="162" t="s">
        <v>293</v>
      </c>
      <c r="I305" s="173">
        <v>20414.77563211487</v>
      </c>
      <c r="J305" s="168">
        <f>IFERROR(MIN('MP Calculations'!$E$30/I305,1),"-")</f>
        <v>0.40513348981719682</v>
      </c>
      <c r="K305" s="12"/>
      <c r="L305" s="159">
        <v>3.4859979999999999</v>
      </c>
      <c r="M305" s="187" t="s">
        <v>294</v>
      </c>
      <c r="N305" s="187">
        <v>192.78728599999999</v>
      </c>
      <c r="O305" s="186">
        <f t="shared" si="14"/>
        <v>672.05609342142793</v>
      </c>
      <c r="P305" s="186">
        <f t="shared" si="15"/>
        <v>272.27243048073512</v>
      </c>
      <c r="Q305" s="215">
        <f>IF(P305="-",0,P305/(1+'General inputs'!$H$30)^'MP Calculations'!$C$40)</f>
        <v>604.79575634672142</v>
      </c>
    </row>
    <row r="306" spans="3:17">
      <c r="C306" s="159"/>
      <c r="D306" s="165" t="s">
        <v>290</v>
      </c>
      <c r="E306" s="162">
        <v>29767</v>
      </c>
      <c r="F306" s="166" t="str">
        <f t="shared" si="13"/>
        <v>Date check - OK</v>
      </c>
      <c r="G306" s="68"/>
      <c r="H306" s="162" t="s">
        <v>293</v>
      </c>
      <c r="I306" s="173">
        <v>20414.77563211487</v>
      </c>
      <c r="J306" s="168">
        <f>IFERROR(MIN('MP Calculations'!$E$30/I306,1),"-")</f>
        <v>0.40513348981719682</v>
      </c>
      <c r="K306" s="12"/>
      <c r="L306" s="159">
        <v>1</v>
      </c>
      <c r="M306" s="187" t="s">
        <v>295</v>
      </c>
      <c r="N306" s="187">
        <v>52535.08</v>
      </c>
      <c r="O306" s="186">
        <f t="shared" si="14"/>
        <v>52535.08</v>
      </c>
      <c r="P306" s="186">
        <f t="shared" si="15"/>
        <v>21283.72029822562</v>
      </c>
      <c r="Q306" s="215">
        <f>IF(P306="-",0,P306/(1+'General inputs'!$H$30)^'MP Calculations'!$C$40)</f>
        <v>47277.293896078925</v>
      </c>
    </row>
    <row r="307" spans="3:17">
      <c r="C307" s="159"/>
      <c r="D307" s="165" t="s">
        <v>282</v>
      </c>
      <c r="E307" s="162">
        <v>29913</v>
      </c>
      <c r="F307" s="166" t="str">
        <f t="shared" si="13"/>
        <v>Date check - OK</v>
      </c>
      <c r="G307" s="68"/>
      <c r="H307" s="162" t="s">
        <v>293</v>
      </c>
      <c r="I307" s="173">
        <v>20414.77563211487</v>
      </c>
      <c r="J307" s="168">
        <f>IFERROR(MIN('MP Calculations'!$E$30/I307,1),"-")</f>
        <v>0.40513348981719682</v>
      </c>
      <c r="K307" s="12"/>
      <c r="L307" s="159">
        <v>3.275401</v>
      </c>
      <c r="M307" s="187" t="s">
        <v>294</v>
      </c>
      <c r="N307" s="187">
        <v>237.97403299999999</v>
      </c>
      <c r="O307" s="186">
        <f t="shared" si="14"/>
        <v>779.46038566223297</v>
      </c>
      <c r="P307" s="186">
        <f t="shared" si="15"/>
        <v>315.78550621759859</v>
      </c>
      <c r="Q307" s="215">
        <f>IF(P307="-",0,P307/(1+'General inputs'!$H$30)^'MP Calculations'!$C$40)</f>
        <v>701.45087307955771</v>
      </c>
    </row>
    <row r="308" spans="3:17">
      <c r="C308" s="159"/>
      <c r="D308" s="165" t="s">
        <v>282</v>
      </c>
      <c r="E308" s="162">
        <v>29913</v>
      </c>
      <c r="F308" s="166" t="str">
        <f t="shared" si="13"/>
        <v>Date check - OK</v>
      </c>
      <c r="G308" s="68"/>
      <c r="H308" s="162" t="s">
        <v>293</v>
      </c>
      <c r="I308" s="173">
        <v>20414.77563211487</v>
      </c>
      <c r="J308" s="168">
        <f>IFERROR(MIN('MP Calculations'!$E$30/I308,1),"-")</f>
        <v>0.40513348981719682</v>
      </c>
      <c r="K308" s="12"/>
      <c r="L308" s="159">
        <v>16.262834000000002</v>
      </c>
      <c r="M308" s="187" t="s">
        <v>294</v>
      </c>
      <c r="N308" s="187">
        <v>237.97403299999999</v>
      </c>
      <c r="O308" s="186">
        <f t="shared" si="14"/>
        <v>3870.1321949895223</v>
      </c>
      <c r="P308" s="186">
        <f t="shared" si="15"/>
        <v>1567.9201622099931</v>
      </c>
      <c r="Q308" s="215">
        <f>IF(P308="-",0,P308/(1+'General inputs'!$H$30)^'MP Calculations'!$C$40)</f>
        <v>3482.8038179288328</v>
      </c>
    </row>
    <row r="309" spans="3:17">
      <c r="C309" s="159"/>
      <c r="D309" s="165" t="s">
        <v>282</v>
      </c>
      <c r="E309" s="162">
        <v>29913</v>
      </c>
      <c r="F309" s="166" t="str">
        <f t="shared" si="13"/>
        <v>Date check - OK</v>
      </c>
      <c r="G309" s="68"/>
      <c r="H309" s="162" t="s">
        <v>293</v>
      </c>
      <c r="I309" s="173">
        <v>20414.77563211487</v>
      </c>
      <c r="J309" s="168">
        <f>IFERROR(MIN('MP Calculations'!$E$30/I309,1),"-")</f>
        <v>0.40513348981719682</v>
      </c>
      <c r="K309" s="12"/>
      <c r="L309" s="159">
        <v>19.383707000000001</v>
      </c>
      <c r="M309" s="187" t="s">
        <v>294</v>
      </c>
      <c r="N309" s="187">
        <v>237.97403299999999</v>
      </c>
      <c r="O309" s="186">
        <f t="shared" si="14"/>
        <v>4612.8189292803308</v>
      </c>
      <c r="P309" s="186">
        <f t="shared" si="15"/>
        <v>1868.8074307141658</v>
      </c>
      <c r="Q309" s="215">
        <f>IF(P309="-",0,P309/(1+'General inputs'!$H$30)^'MP Calculations'!$C$40)</f>
        <v>4151.1613993731862</v>
      </c>
    </row>
    <row r="310" spans="3:17">
      <c r="C310" s="159"/>
      <c r="D310" s="165" t="s">
        <v>282</v>
      </c>
      <c r="E310" s="162">
        <v>29913</v>
      </c>
      <c r="F310" s="166" t="str">
        <f t="shared" si="13"/>
        <v>Date check - OK</v>
      </c>
      <c r="G310" s="68"/>
      <c r="H310" s="162" t="s">
        <v>293</v>
      </c>
      <c r="I310" s="173">
        <v>20414.77563211487</v>
      </c>
      <c r="J310" s="168">
        <f>IFERROR(MIN('MP Calculations'!$E$30/I310,1),"-")</f>
        <v>0.40513348981719682</v>
      </c>
      <c r="K310" s="12"/>
      <c r="L310" s="159">
        <v>57.072615999999996</v>
      </c>
      <c r="M310" s="187" t="s">
        <v>294</v>
      </c>
      <c r="N310" s="187">
        <v>237.97403299999999</v>
      </c>
      <c r="O310" s="186">
        <f t="shared" si="14"/>
        <v>13581.800603380327</v>
      </c>
      <c r="P310" s="186">
        <f t="shared" si="15"/>
        <v>5502.4422764487808</v>
      </c>
      <c r="Q310" s="215">
        <f>IF(P310="-",0,P310/(1+'General inputs'!$H$30)^'MP Calculations'!$C$40)</f>
        <v>12222.514532460094</v>
      </c>
    </row>
    <row r="311" spans="3:17">
      <c r="C311" s="159"/>
      <c r="D311" s="165" t="s">
        <v>281</v>
      </c>
      <c r="E311" s="162">
        <v>29952</v>
      </c>
      <c r="F311" s="166" t="str">
        <f t="shared" si="13"/>
        <v>Date check - OK</v>
      </c>
      <c r="G311" s="68"/>
      <c r="H311" s="162" t="s">
        <v>293</v>
      </c>
      <c r="I311" s="173">
        <v>20414.77563211487</v>
      </c>
      <c r="J311" s="168">
        <f>IFERROR(MIN('MP Calculations'!$E$30/I311,1),"-")</f>
        <v>0.40513348981719682</v>
      </c>
      <c r="K311" s="12"/>
      <c r="L311" s="159">
        <v>3.0929769999999999</v>
      </c>
      <c r="M311" s="187" t="s">
        <v>294</v>
      </c>
      <c r="N311" s="187">
        <v>192.78728599999999</v>
      </c>
      <c r="O311" s="186">
        <f t="shared" si="14"/>
        <v>596.28664149042197</v>
      </c>
      <c r="P311" s="186">
        <f t="shared" si="15"/>
        <v>241.57568799839035</v>
      </c>
      <c r="Q311" s="215">
        <f>IF(P311="-",0,P311/(1+'General inputs'!$H$30)^'MP Calculations'!$C$40)</f>
        <v>536.60941976387062</v>
      </c>
    </row>
    <row r="312" spans="3:17">
      <c r="C312" s="159"/>
      <c r="D312" s="165" t="s">
        <v>281</v>
      </c>
      <c r="E312" s="162">
        <v>29952</v>
      </c>
      <c r="F312" s="166" t="str">
        <f t="shared" si="13"/>
        <v>Date check - OK</v>
      </c>
      <c r="G312" s="68"/>
      <c r="H312" s="162" t="s">
        <v>293</v>
      </c>
      <c r="I312" s="173">
        <v>20414.77563211487</v>
      </c>
      <c r="J312" s="168">
        <f>IFERROR(MIN('MP Calculations'!$E$30/I312,1),"-")</f>
        <v>0.40513348981719682</v>
      </c>
      <c r="K312" s="12"/>
      <c r="L312" s="159">
        <v>1.3182750000000001</v>
      </c>
      <c r="M312" s="187" t="s">
        <v>294</v>
      </c>
      <c r="N312" s="187">
        <v>192.78728599999999</v>
      </c>
      <c r="O312" s="186">
        <f t="shared" si="14"/>
        <v>254.14665945165001</v>
      </c>
      <c r="P312" s="186">
        <f t="shared" si="15"/>
        <v>102.96332306902964</v>
      </c>
      <c r="Q312" s="215">
        <f>IF(P312="-",0,P312/(1+'General inputs'!$H$30)^'MP Calculations'!$C$40)</f>
        <v>228.71129751020351</v>
      </c>
    </row>
    <row r="313" spans="3:17">
      <c r="C313" s="159"/>
      <c r="D313" s="165" t="s">
        <v>281</v>
      </c>
      <c r="E313" s="162">
        <v>29952</v>
      </c>
      <c r="F313" s="166" t="str">
        <f t="shared" si="13"/>
        <v>Date check - OK</v>
      </c>
      <c r="G313" s="68"/>
      <c r="H313" s="162" t="s">
        <v>293</v>
      </c>
      <c r="I313" s="173">
        <v>20414.77563211487</v>
      </c>
      <c r="J313" s="168">
        <f>IFERROR(MIN('MP Calculations'!$E$30/I313,1),"-")</f>
        <v>0.40513348981719682</v>
      </c>
      <c r="K313" s="12"/>
      <c r="L313" s="159">
        <v>1.318897</v>
      </c>
      <c r="M313" s="187" t="s">
        <v>294</v>
      </c>
      <c r="N313" s="187">
        <v>192.78728599999999</v>
      </c>
      <c r="O313" s="186">
        <f t="shared" si="14"/>
        <v>254.26657314354199</v>
      </c>
      <c r="P313" s="186">
        <f t="shared" si="15"/>
        <v>103.0119041215027</v>
      </c>
      <c r="Q313" s="215">
        <f>IF(P313="-",0,P313/(1+'General inputs'!$H$30)^'MP Calculations'!$C$40)</f>
        <v>228.81921006794093</v>
      </c>
    </row>
    <row r="314" spans="3:17">
      <c r="C314" s="159"/>
      <c r="D314" s="165" t="s">
        <v>281</v>
      </c>
      <c r="E314" s="162">
        <v>29952</v>
      </c>
      <c r="F314" s="166" t="str">
        <f t="shared" si="13"/>
        <v>Date check - OK</v>
      </c>
      <c r="G314" s="68"/>
      <c r="H314" s="162" t="s">
        <v>293</v>
      </c>
      <c r="I314" s="173">
        <v>20414.77563211487</v>
      </c>
      <c r="J314" s="168">
        <f>IFERROR(MIN('MP Calculations'!$E$30/I314,1),"-")</f>
        <v>0.40513348981719682</v>
      </c>
      <c r="K314" s="12"/>
      <c r="L314" s="159">
        <v>3.7797679999999998</v>
      </c>
      <c r="M314" s="187" t="s">
        <v>294</v>
      </c>
      <c r="N314" s="187">
        <v>192.78728599999999</v>
      </c>
      <c r="O314" s="186">
        <f t="shared" si="14"/>
        <v>728.69121442964797</v>
      </c>
      <c r="P314" s="186">
        <f t="shared" si="15"/>
        <v>295.2172147010146</v>
      </c>
      <c r="Q314" s="215">
        <f>IF(P314="-",0,P314/(1+'General inputs'!$H$30)^'MP Calculations'!$C$40)</f>
        <v>655.76275327040787</v>
      </c>
    </row>
    <row r="315" spans="3:17">
      <c r="C315" s="159"/>
      <c r="D315" s="165" t="s">
        <v>282</v>
      </c>
      <c r="E315" s="162">
        <v>30035</v>
      </c>
      <c r="F315" s="166" t="str">
        <f t="shared" si="13"/>
        <v>Date check - OK</v>
      </c>
      <c r="G315" s="68"/>
      <c r="H315" s="162" t="s">
        <v>293</v>
      </c>
      <c r="I315" s="173">
        <v>20414.77563211487</v>
      </c>
      <c r="J315" s="168">
        <f>IFERROR(MIN('MP Calculations'!$E$30/I315,1),"-")</f>
        <v>0.40513348981719682</v>
      </c>
      <c r="K315" s="12"/>
      <c r="L315" s="159">
        <v>2.5869620000000002</v>
      </c>
      <c r="M315" s="187" t="s">
        <v>294</v>
      </c>
      <c r="N315" s="187">
        <v>237.97403299999999</v>
      </c>
      <c r="O315" s="186">
        <f t="shared" si="14"/>
        <v>615.62978035774597</v>
      </c>
      <c r="P315" s="186">
        <f t="shared" si="15"/>
        <v>249.412241351728</v>
      </c>
      <c r="Q315" s="215">
        <f>IF(P315="-",0,P315/(1+'General inputs'!$H$30)^'MP Calculations'!$C$40)</f>
        <v>554.01666956920349</v>
      </c>
    </row>
    <row r="316" spans="3:17">
      <c r="C316" s="159"/>
      <c r="D316" s="165" t="s">
        <v>282</v>
      </c>
      <c r="E316" s="162">
        <v>30035</v>
      </c>
      <c r="F316" s="166" t="str">
        <f t="shared" si="13"/>
        <v>Date check - OK</v>
      </c>
      <c r="G316" s="68"/>
      <c r="H316" s="162" t="s">
        <v>293</v>
      </c>
      <c r="I316" s="173">
        <v>20414.77563211487</v>
      </c>
      <c r="J316" s="168">
        <f>IFERROR(MIN('MP Calculations'!$E$30/I316,1),"-")</f>
        <v>0.40513348981719682</v>
      </c>
      <c r="K316" s="12"/>
      <c r="L316" s="159">
        <v>0.18454799999999999</v>
      </c>
      <c r="M316" s="187" t="s">
        <v>294</v>
      </c>
      <c r="N316" s="187">
        <v>237.97403299999999</v>
      </c>
      <c r="O316" s="186">
        <f t="shared" si="14"/>
        <v>43.917631842083999</v>
      </c>
      <c r="P316" s="186">
        <f t="shared" si="15"/>
        <v>17.792503452690337</v>
      </c>
      <c r="Q316" s="215">
        <f>IF(P316="-",0,P316/(1+'General inputs'!$H$30)^'MP Calculations'!$C$40)</f>
        <v>39.522292301030078</v>
      </c>
    </row>
    <row r="317" spans="3:17">
      <c r="C317" s="159"/>
      <c r="D317" s="165" t="s">
        <v>282</v>
      </c>
      <c r="E317" s="162">
        <v>30035</v>
      </c>
      <c r="F317" s="166" t="str">
        <f t="shared" si="13"/>
        <v>Date check - OK</v>
      </c>
      <c r="G317" s="68"/>
      <c r="H317" s="162" t="s">
        <v>293</v>
      </c>
      <c r="I317" s="173">
        <v>20414.77563211487</v>
      </c>
      <c r="J317" s="168">
        <f>IFERROR(MIN('MP Calculations'!$E$30/I317,1),"-")</f>
        <v>0.40513348981719682</v>
      </c>
      <c r="K317" s="12"/>
      <c r="L317" s="159">
        <v>0.18454799999999999</v>
      </c>
      <c r="M317" s="187" t="s">
        <v>294</v>
      </c>
      <c r="N317" s="187">
        <v>237.97403299999999</v>
      </c>
      <c r="O317" s="186">
        <f t="shared" si="14"/>
        <v>43.917631842083999</v>
      </c>
      <c r="P317" s="186">
        <f t="shared" si="15"/>
        <v>17.792503452690337</v>
      </c>
      <c r="Q317" s="215">
        <f>IF(P317="-",0,P317/(1+'General inputs'!$H$30)^'MP Calculations'!$C$40)</f>
        <v>39.522292301030078</v>
      </c>
    </row>
    <row r="318" spans="3:17">
      <c r="C318" s="159"/>
      <c r="D318" s="165" t="s">
        <v>282</v>
      </c>
      <c r="E318" s="162">
        <v>30035</v>
      </c>
      <c r="F318" s="166" t="str">
        <f t="shared" si="13"/>
        <v>Date check - OK</v>
      </c>
      <c r="G318" s="68"/>
      <c r="H318" s="162" t="s">
        <v>293</v>
      </c>
      <c r="I318" s="173">
        <v>20414.77563211487</v>
      </c>
      <c r="J318" s="168">
        <f>IFERROR(MIN('MP Calculations'!$E$30/I318,1),"-")</f>
        <v>0.40513348981719682</v>
      </c>
      <c r="K318" s="12"/>
      <c r="L318" s="159">
        <v>3.0710760000000001</v>
      </c>
      <c r="M318" s="187" t="s">
        <v>294</v>
      </c>
      <c r="N318" s="187">
        <v>237.97403299999999</v>
      </c>
      <c r="O318" s="186">
        <f t="shared" si="14"/>
        <v>730.83634136950798</v>
      </c>
      <c r="P318" s="186">
        <f t="shared" si="15"/>
        <v>296.08627746426095</v>
      </c>
      <c r="Q318" s="215">
        <f>IF(P318="-",0,P318/(1+'General inputs'!$H$30)^'MP Calculations'!$C$40)</f>
        <v>657.69319283155733</v>
      </c>
    </row>
    <row r="319" spans="3:17">
      <c r="C319" s="159"/>
      <c r="D319" s="165" t="s">
        <v>282</v>
      </c>
      <c r="E319" s="162">
        <v>30035</v>
      </c>
      <c r="F319" s="166" t="str">
        <f t="shared" si="13"/>
        <v>Date check - OK</v>
      </c>
      <c r="G319" s="68"/>
      <c r="H319" s="162" t="s">
        <v>293</v>
      </c>
      <c r="I319" s="173">
        <v>20414.77563211487</v>
      </c>
      <c r="J319" s="168">
        <f>IFERROR(MIN('MP Calculations'!$E$30/I319,1),"-")</f>
        <v>0.40513348981719682</v>
      </c>
      <c r="K319" s="12"/>
      <c r="L319" s="159">
        <v>0.217612</v>
      </c>
      <c r="M319" s="187" t="s">
        <v>294</v>
      </c>
      <c r="N319" s="187">
        <v>237.97403299999999</v>
      </c>
      <c r="O319" s="186">
        <f t="shared" si="14"/>
        <v>51.786005269195996</v>
      </c>
      <c r="P319" s="186">
        <f t="shared" si="15"/>
        <v>20.980245038401119</v>
      </c>
      <c r="Q319" s="215">
        <f>IF(P319="-",0,P319/(1+'General inputs'!$H$30)^'MP Calculations'!$C$40)</f>
        <v>46.603187637968212</v>
      </c>
    </row>
    <row r="320" spans="3:17">
      <c r="C320" s="159"/>
      <c r="D320" s="165" t="s">
        <v>282</v>
      </c>
      <c r="E320" s="162">
        <v>30035</v>
      </c>
      <c r="F320" s="166" t="str">
        <f t="shared" si="13"/>
        <v>Date check - OK</v>
      </c>
      <c r="G320" s="68"/>
      <c r="H320" s="162" t="s">
        <v>293</v>
      </c>
      <c r="I320" s="173">
        <v>20414.77563211487</v>
      </c>
      <c r="J320" s="168">
        <f>IFERROR(MIN('MP Calculations'!$E$30/I320,1),"-")</f>
        <v>0.40513348981719682</v>
      </c>
      <c r="K320" s="12"/>
      <c r="L320" s="159">
        <v>1.4306099999999999</v>
      </c>
      <c r="M320" s="187" t="s">
        <v>294</v>
      </c>
      <c r="N320" s="187">
        <v>237.97403299999999</v>
      </c>
      <c r="O320" s="186">
        <f t="shared" si="14"/>
        <v>340.44803135012995</v>
      </c>
      <c r="P320" s="186">
        <f t="shared" si="15"/>
        <v>137.92689904227257</v>
      </c>
      <c r="Q320" s="215">
        <f>IF(P320="-",0,P320/(1+'General inputs'!$H$30)^'MP Calculations'!$C$40)</f>
        <v>306.37550441498485</v>
      </c>
    </row>
    <row r="321" spans="3:17">
      <c r="C321" s="159"/>
      <c r="D321" s="165" t="s">
        <v>282</v>
      </c>
      <c r="E321" s="162">
        <v>30035</v>
      </c>
      <c r="F321" s="166" t="str">
        <f t="shared" si="13"/>
        <v>Date check - OK</v>
      </c>
      <c r="G321" s="68"/>
      <c r="H321" s="162" t="s">
        <v>293</v>
      </c>
      <c r="I321" s="173">
        <v>20414.77563211487</v>
      </c>
      <c r="J321" s="168">
        <f>IFERROR(MIN('MP Calculations'!$E$30/I321,1),"-")</f>
        <v>0.40513348981719682</v>
      </c>
      <c r="K321" s="12"/>
      <c r="L321" s="159">
        <v>2.3253509999999999</v>
      </c>
      <c r="M321" s="187" t="s">
        <v>294</v>
      </c>
      <c r="N321" s="187">
        <v>237.97403299999999</v>
      </c>
      <c r="O321" s="186">
        <f t="shared" si="14"/>
        <v>553.37315561058301</v>
      </c>
      <c r="P321" s="186">
        <f t="shared" si="15"/>
        <v>224.1899977036702</v>
      </c>
      <c r="Q321" s="215">
        <f>IF(P321="-",0,P321/(1+'General inputs'!$H$30)^'MP Calculations'!$C$40)</f>
        <v>497.99077705796105</v>
      </c>
    </row>
    <row r="322" spans="3:17">
      <c r="C322" s="159"/>
      <c r="D322" s="165" t="s">
        <v>282</v>
      </c>
      <c r="E322" s="162">
        <v>30035</v>
      </c>
      <c r="F322" s="166" t="str">
        <f t="shared" si="13"/>
        <v>Date check - OK</v>
      </c>
      <c r="G322" s="68"/>
      <c r="H322" s="162" t="s">
        <v>293</v>
      </c>
      <c r="I322" s="173">
        <v>20414.77563211487</v>
      </c>
      <c r="J322" s="168">
        <f>IFERROR(MIN('MP Calculations'!$E$30/I322,1),"-")</f>
        <v>0.40513348981719682</v>
      </c>
      <c r="K322" s="12"/>
      <c r="L322" s="159">
        <v>1.4309369999999999</v>
      </c>
      <c r="M322" s="187" t="s">
        <v>294</v>
      </c>
      <c r="N322" s="187">
        <v>237.97403299999999</v>
      </c>
      <c r="O322" s="186">
        <f t="shared" si="14"/>
        <v>340.52584885892094</v>
      </c>
      <c r="P322" s="186">
        <f t="shared" si="15"/>
        <v>137.95842552117796</v>
      </c>
      <c r="Q322" s="215">
        <f>IF(P322="-",0,P322/(1+'General inputs'!$H$30)^'MP Calculations'!$C$40)</f>
        <v>306.44553383596173</v>
      </c>
    </row>
    <row r="323" spans="3:17">
      <c r="C323" s="159"/>
      <c r="D323" s="165" t="s">
        <v>282</v>
      </c>
      <c r="E323" s="162">
        <v>30035</v>
      </c>
      <c r="F323" s="166" t="str">
        <f t="shared" si="13"/>
        <v>Date check - OK</v>
      </c>
      <c r="G323" s="68"/>
      <c r="H323" s="162" t="s">
        <v>293</v>
      </c>
      <c r="I323" s="173">
        <v>20414.77563211487</v>
      </c>
      <c r="J323" s="168">
        <f>IFERROR(MIN('MP Calculations'!$E$30/I323,1),"-")</f>
        <v>0.40513348981719682</v>
      </c>
      <c r="K323" s="12"/>
      <c r="L323" s="159">
        <v>3.0966369999999999</v>
      </c>
      <c r="M323" s="187" t="s">
        <v>294</v>
      </c>
      <c r="N323" s="187">
        <v>237.97403299999999</v>
      </c>
      <c r="O323" s="186">
        <f t="shared" si="14"/>
        <v>736.91919562702094</v>
      </c>
      <c r="P323" s="186">
        <f t="shared" si="15"/>
        <v>298.55064543765656</v>
      </c>
      <c r="Q323" s="215">
        <f>IF(P323="-",0,P323/(1+'General inputs'!$H$30)^'MP Calculations'!$C$40)</f>
        <v>663.16726631654024</v>
      </c>
    </row>
    <row r="324" spans="3:17">
      <c r="C324" s="159"/>
      <c r="D324" s="165" t="s">
        <v>282</v>
      </c>
      <c r="E324" s="162">
        <v>30035</v>
      </c>
      <c r="F324" s="166" t="str">
        <f t="shared" si="13"/>
        <v>Date check - OK</v>
      </c>
      <c r="G324" s="68"/>
      <c r="H324" s="162" t="s">
        <v>293</v>
      </c>
      <c r="I324" s="173">
        <v>20414.77563211487</v>
      </c>
      <c r="J324" s="168">
        <f>IFERROR(MIN('MP Calculations'!$E$30/I324,1),"-")</f>
        <v>0.40513348981719682</v>
      </c>
      <c r="K324" s="12"/>
      <c r="L324" s="159">
        <v>0.217612</v>
      </c>
      <c r="M324" s="187" t="s">
        <v>294</v>
      </c>
      <c r="N324" s="187">
        <v>237.97403299999999</v>
      </c>
      <c r="O324" s="186">
        <f t="shared" si="14"/>
        <v>51.786005269195996</v>
      </c>
      <c r="P324" s="186">
        <f t="shared" si="15"/>
        <v>20.980245038401119</v>
      </c>
      <c r="Q324" s="215">
        <f>IF(P324="-",0,P324/(1+'General inputs'!$H$30)^'MP Calculations'!$C$40)</f>
        <v>46.603187637968212</v>
      </c>
    </row>
    <row r="325" spans="3:17">
      <c r="C325" s="159"/>
      <c r="D325" s="165" t="s">
        <v>282</v>
      </c>
      <c r="E325" s="162">
        <v>30317</v>
      </c>
      <c r="F325" s="166" t="str">
        <f t="shared" si="13"/>
        <v>Date check - OK</v>
      </c>
      <c r="G325" s="68"/>
      <c r="H325" s="162" t="s">
        <v>293</v>
      </c>
      <c r="I325" s="173">
        <v>20414.77563211487</v>
      </c>
      <c r="J325" s="168">
        <f>IFERROR(MIN('MP Calculations'!$E$30/I325,1),"-")</f>
        <v>0.40513348981719682</v>
      </c>
      <c r="K325" s="12"/>
      <c r="L325" s="159">
        <v>0.89934800000000004</v>
      </c>
      <c r="M325" s="187" t="s">
        <v>294</v>
      </c>
      <c r="N325" s="187">
        <v>237.97403299999999</v>
      </c>
      <c r="O325" s="186">
        <f t="shared" si="14"/>
        <v>214.021470630484</v>
      </c>
      <c r="P325" s="186">
        <f t="shared" si="15"/>
        <v>86.707265292336686</v>
      </c>
      <c r="Q325" s="215">
        <f>IF(P325="-",0,P325/(1+'General inputs'!$H$30)^'MP Calculations'!$C$40)</f>
        <v>192.60189509692222</v>
      </c>
    </row>
    <row r="326" spans="3:17">
      <c r="C326" s="159"/>
      <c r="D326" s="165" t="s">
        <v>282</v>
      </c>
      <c r="E326" s="162">
        <v>30317</v>
      </c>
      <c r="F326" s="166" t="str">
        <f t="shared" si="13"/>
        <v>Date check - OK</v>
      </c>
      <c r="G326" s="68"/>
      <c r="H326" s="162" t="s">
        <v>293</v>
      </c>
      <c r="I326" s="173">
        <v>20414.77563211487</v>
      </c>
      <c r="J326" s="168">
        <f>IFERROR(MIN('MP Calculations'!$E$30/I326,1),"-")</f>
        <v>0.40513348981719682</v>
      </c>
      <c r="K326" s="12"/>
      <c r="L326" s="159">
        <v>34.393425999999998</v>
      </c>
      <c r="M326" s="187" t="s">
        <v>294</v>
      </c>
      <c r="N326" s="187">
        <v>237.97403299999999</v>
      </c>
      <c r="O326" s="186">
        <f t="shared" si="14"/>
        <v>8184.7422939070575</v>
      </c>
      <c r="P326" s="186">
        <f t="shared" si="15"/>
        <v>3315.9132087849753</v>
      </c>
      <c r="Q326" s="215">
        <f>IF(P326="-",0,P326/(1+'General inputs'!$H$30)^'MP Calculations'!$C$40)</f>
        <v>7365.601554098921</v>
      </c>
    </row>
    <row r="327" spans="3:17">
      <c r="C327" s="159"/>
      <c r="D327" s="165" t="s">
        <v>282</v>
      </c>
      <c r="E327" s="162">
        <v>30317</v>
      </c>
      <c r="F327" s="166" t="str">
        <f t="shared" si="13"/>
        <v>Date check - OK</v>
      </c>
      <c r="G327" s="68"/>
      <c r="H327" s="162" t="s">
        <v>293</v>
      </c>
      <c r="I327" s="173">
        <v>20414.77563211487</v>
      </c>
      <c r="J327" s="168">
        <f>IFERROR(MIN('MP Calculations'!$E$30/I327,1),"-")</f>
        <v>0.40513348981719682</v>
      </c>
      <c r="K327" s="12"/>
      <c r="L327" s="159">
        <v>0.29963299999999998</v>
      </c>
      <c r="M327" s="187" t="s">
        <v>294</v>
      </c>
      <c r="N327" s="187">
        <v>237.97403299999999</v>
      </c>
      <c r="O327" s="186">
        <f t="shared" si="14"/>
        <v>71.304873429889</v>
      </c>
      <c r="P327" s="186">
        <f t="shared" si="15"/>
        <v>28.887992213624443</v>
      </c>
      <c r="Q327" s="215">
        <f>IF(P327="-",0,P327/(1+'General inputs'!$H$30)^'MP Calculations'!$C$40)</f>
        <v>64.168579497120234</v>
      </c>
    </row>
    <row r="328" spans="3:17">
      <c r="C328" s="159"/>
      <c r="D328" s="165" t="s">
        <v>281</v>
      </c>
      <c r="E328" s="162">
        <v>30317</v>
      </c>
      <c r="F328" s="166" t="str">
        <f t="shared" si="13"/>
        <v>Date check - OK</v>
      </c>
      <c r="G328" s="68"/>
      <c r="H328" s="162" t="s">
        <v>293</v>
      </c>
      <c r="I328" s="173">
        <v>20414.77563211487</v>
      </c>
      <c r="J328" s="168">
        <f>IFERROR(MIN('MP Calculations'!$E$30/I328,1),"-")</f>
        <v>0.40513348981719682</v>
      </c>
      <c r="K328" s="12"/>
      <c r="L328" s="159">
        <v>9.5871860000000009</v>
      </c>
      <c r="M328" s="187" t="s">
        <v>294</v>
      </c>
      <c r="N328" s="187">
        <v>192.78728599999999</v>
      </c>
      <c r="O328" s="186">
        <f t="shared" si="14"/>
        <v>1848.2875693171961</v>
      </c>
      <c r="P328" s="186">
        <f t="shared" si="15"/>
        <v>748.8031931432198</v>
      </c>
      <c r="Q328" s="215">
        <f>IF(P328="-",0,P328/(1+'General inputs'!$H$30)^'MP Calculations'!$C$40)</f>
        <v>1663.3083002648598</v>
      </c>
    </row>
    <row r="329" spans="3:17">
      <c r="C329" s="159"/>
      <c r="D329" s="165" t="s">
        <v>281</v>
      </c>
      <c r="E329" s="162">
        <v>30317</v>
      </c>
      <c r="F329" s="166" t="str">
        <f t="shared" si="13"/>
        <v>Date check - OK</v>
      </c>
      <c r="G329" s="68"/>
      <c r="H329" s="162" t="s">
        <v>293</v>
      </c>
      <c r="I329" s="173">
        <v>20414.77563211487</v>
      </c>
      <c r="J329" s="168">
        <f>IFERROR(MIN('MP Calculations'!$E$30/I329,1),"-")</f>
        <v>0.40513348981719682</v>
      </c>
      <c r="K329" s="12"/>
      <c r="L329" s="159">
        <v>0.69954300000000003</v>
      </c>
      <c r="M329" s="187" t="s">
        <v>294</v>
      </c>
      <c r="N329" s="187">
        <v>192.78728599999999</v>
      </c>
      <c r="O329" s="186">
        <f t="shared" si="14"/>
        <v>134.862996410298</v>
      </c>
      <c r="P329" s="186">
        <f t="shared" si="15"/>
        <v>54.637516382908117</v>
      </c>
      <c r="Q329" s="215">
        <f>IF(P329="-",0,P329/(1+'General inputs'!$H$30)^'MP Calculations'!$C$40)</f>
        <v>121.36571443301305</v>
      </c>
    </row>
    <row r="330" spans="3:17">
      <c r="C330" s="159"/>
      <c r="D330" s="165" t="s">
        <v>281</v>
      </c>
      <c r="E330" s="162">
        <v>30317</v>
      </c>
      <c r="F330" s="166" t="str">
        <f t="shared" si="13"/>
        <v>Date check - OK</v>
      </c>
      <c r="G330" s="68"/>
      <c r="H330" s="162" t="s">
        <v>293</v>
      </c>
      <c r="I330" s="173">
        <v>20414.77563211487</v>
      </c>
      <c r="J330" s="168">
        <f>IFERROR(MIN('MP Calculations'!$E$30/I330,1),"-")</f>
        <v>0.40513348981719682</v>
      </c>
      <c r="K330" s="12"/>
      <c r="L330" s="159">
        <v>15.754833</v>
      </c>
      <c r="M330" s="187" t="s">
        <v>294</v>
      </c>
      <c r="N330" s="187">
        <v>192.78728599999999</v>
      </c>
      <c r="O330" s="186">
        <f t="shared" si="14"/>
        <v>3037.3314954532379</v>
      </c>
      <c r="P330" s="186">
        <f t="shared" si="15"/>
        <v>1230.5247084846555</v>
      </c>
      <c r="Q330" s="215">
        <f>IF(P330="-",0,P330/(1+'General inputs'!$H$30)^'MP Calculations'!$C$40)</f>
        <v>2733.351006039386</v>
      </c>
    </row>
    <row r="331" spans="3:17">
      <c r="C331" s="159"/>
      <c r="D331" s="165" t="s">
        <v>281</v>
      </c>
      <c r="E331" s="162">
        <v>30386</v>
      </c>
      <c r="F331" s="166" t="str">
        <f t="shared" si="13"/>
        <v>Date check - OK</v>
      </c>
      <c r="G331" s="68"/>
      <c r="H331" s="162" t="s">
        <v>293</v>
      </c>
      <c r="I331" s="173">
        <v>20414.77563211487</v>
      </c>
      <c r="J331" s="168">
        <f>IFERROR(MIN('MP Calculations'!$E$30/I331,1),"-")</f>
        <v>0.40513348981719682</v>
      </c>
      <c r="K331" s="12"/>
      <c r="L331" s="159">
        <v>33.692919000000003</v>
      </c>
      <c r="M331" s="187" t="s">
        <v>294</v>
      </c>
      <c r="N331" s="187">
        <v>192.78728599999999</v>
      </c>
      <c r="O331" s="186">
        <f t="shared" si="14"/>
        <v>6495.5664114278343</v>
      </c>
      <c r="P331" s="186">
        <f t="shared" si="15"/>
        <v>2631.5714886011242</v>
      </c>
      <c r="Q331" s="215">
        <f>IF(P331="-",0,P331/(1+'General inputs'!$H$30)^'MP Calculations'!$C$40)</f>
        <v>5845.4808150015651</v>
      </c>
    </row>
    <row r="332" spans="3:17">
      <c r="C332" s="159"/>
      <c r="D332" s="165" t="s">
        <v>281</v>
      </c>
      <c r="E332" s="162">
        <v>30386</v>
      </c>
      <c r="F332" s="166" t="str">
        <f t="shared" si="13"/>
        <v>Date check - OK</v>
      </c>
      <c r="G332" s="68"/>
      <c r="H332" s="162" t="s">
        <v>293</v>
      </c>
      <c r="I332" s="173">
        <v>20414.77563211487</v>
      </c>
      <c r="J332" s="168">
        <f>IFERROR(MIN('MP Calculations'!$E$30/I332,1),"-")</f>
        <v>0.40513348981719682</v>
      </c>
      <c r="K332" s="12"/>
      <c r="L332" s="159">
        <v>27.893117</v>
      </c>
      <c r="M332" s="187" t="s">
        <v>294</v>
      </c>
      <c r="N332" s="187">
        <v>192.78728599999999</v>
      </c>
      <c r="O332" s="186">
        <f t="shared" si="14"/>
        <v>5377.4383245104618</v>
      </c>
      <c r="P332" s="186">
        <f t="shared" si="15"/>
        <v>2178.5803546856632</v>
      </c>
      <c r="Q332" s="215">
        <f>IF(P332="-",0,P332/(1+'General inputs'!$H$30)^'MP Calculations'!$C$40)</f>
        <v>4839.2565896143933</v>
      </c>
    </row>
    <row r="333" spans="3:17">
      <c r="C333" s="159"/>
      <c r="D333" s="165" t="s">
        <v>281</v>
      </c>
      <c r="E333" s="162">
        <v>30386</v>
      </c>
      <c r="F333" s="166" t="str">
        <f t="shared" si="13"/>
        <v>Date check - OK</v>
      </c>
      <c r="G333" s="68"/>
      <c r="H333" s="162" t="s">
        <v>293</v>
      </c>
      <c r="I333" s="173">
        <v>20414.77563211487</v>
      </c>
      <c r="J333" s="168">
        <f>IFERROR(MIN('MP Calculations'!$E$30/I333,1),"-")</f>
        <v>0.40513348981719682</v>
      </c>
      <c r="K333" s="12"/>
      <c r="L333" s="159">
        <v>20.796748999999998</v>
      </c>
      <c r="M333" s="187" t="s">
        <v>294</v>
      </c>
      <c r="N333" s="187">
        <v>192.78728599999999</v>
      </c>
      <c r="O333" s="186">
        <f t="shared" si="14"/>
        <v>4009.3487973332135</v>
      </c>
      <c r="P333" s="186">
        <f t="shared" si="15"/>
        <v>1624.3214701579857</v>
      </c>
      <c r="Q333" s="215">
        <f>IF(P333="-",0,P333/(1+'General inputs'!$H$30)^'MP Calculations'!$C$40)</f>
        <v>3608.0874231734851</v>
      </c>
    </row>
    <row r="334" spans="3:17">
      <c r="C334" s="159"/>
      <c r="D334" s="165" t="s">
        <v>281</v>
      </c>
      <c r="E334" s="162">
        <v>30386</v>
      </c>
      <c r="F334" s="166" t="str">
        <f t="shared" si="13"/>
        <v>Date check - OK</v>
      </c>
      <c r="G334" s="68"/>
      <c r="H334" s="162" t="s">
        <v>293</v>
      </c>
      <c r="I334" s="173">
        <v>20414.77563211487</v>
      </c>
      <c r="J334" s="168">
        <f>IFERROR(MIN('MP Calculations'!$E$30/I334,1),"-")</f>
        <v>0.40513348981719682</v>
      </c>
      <c r="K334" s="12"/>
      <c r="L334" s="159">
        <v>66.184826000000001</v>
      </c>
      <c r="M334" s="187" t="s">
        <v>294</v>
      </c>
      <c r="N334" s="187">
        <v>192.78728599999999</v>
      </c>
      <c r="O334" s="186">
        <f t="shared" si="14"/>
        <v>12759.592978922235</v>
      </c>
      <c r="P334" s="186">
        <f t="shared" si="15"/>
        <v>5169.3384321977674</v>
      </c>
      <c r="Q334" s="215">
        <f>IF(P334="-",0,P334/(1+'General inputs'!$H$30)^'MP Calculations'!$C$40)</f>
        <v>11482.594625512165</v>
      </c>
    </row>
    <row r="335" spans="3:17">
      <c r="C335" s="159"/>
      <c r="D335" s="165" t="s">
        <v>282</v>
      </c>
      <c r="E335" s="162">
        <v>30451</v>
      </c>
      <c r="F335" s="166" t="str">
        <f t="shared" si="13"/>
        <v>Date check - OK</v>
      </c>
      <c r="G335" s="68"/>
      <c r="H335" s="162" t="s">
        <v>293</v>
      </c>
      <c r="I335" s="173">
        <v>20414.77563211487</v>
      </c>
      <c r="J335" s="168">
        <f>IFERROR(MIN('MP Calculations'!$E$30/I335,1),"-")</f>
        <v>0.40513348981719682</v>
      </c>
      <c r="K335" s="12"/>
      <c r="L335" s="159">
        <v>3.5012370000000002</v>
      </c>
      <c r="M335" s="187" t="s">
        <v>294</v>
      </c>
      <c r="N335" s="187">
        <v>237.97403299999999</v>
      </c>
      <c r="O335" s="186">
        <f t="shared" si="14"/>
        <v>833.20348937882102</v>
      </c>
      <c r="P335" s="186">
        <f t="shared" si="15"/>
        <v>337.55863737990745</v>
      </c>
      <c r="Q335" s="215">
        <f>IF(P335="-",0,P335/(1+'General inputs'!$H$30)^'MP Calculations'!$C$40)</f>
        <v>749.81528994723135</v>
      </c>
    </row>
    <row r="336" spans="3:17">
      <c r="C336" s="159"/>
      <c r="D336" s="165" t="s">
        <v>282</v>
      </c>
      <c r="E336" s="162">
        <v>30451</v>
      </c>
      <c r="F336" s="166" t="str">
        <f t="shared" si="13"/>
        <v>Date check - OK</v>
      </c>
      <c r="G336" s="68"/>
      <c r="H336" s="162" t="s">
        <v>293</v>
      </c>
      <c r="I336" s="173">
        <v>20414.77563211487</v>
      </c>
      <c r="J336" s="168">
        <f>IFERROR(MIN('MP Calculations'!$E$30/I336,1),"-")</f>
        <v>0.40513348981719682</v>
      </c>
      <c r="K336" s="12"/>
      <c r="L336" s="159">
        <v>0.50043300000000002</v>
      </c>
      <c r="M336" s="187" t="s">
        <v>294</v>
      </c>
      <c r="N336" s="187">
        <v>237.97403299999999</v>
      </c>
      <c r="O336" s="186">
        <f t="shared" si="14"/>
        <v>119.090059256289</v>
      </c>
      <c r="P336" s="186">
        <f t="shared" si="15"/>
        <v>48.247371309037121</v>
      </c>
      <c r="Q336" s="215">
        <f>IF(P336="-",0,P336/(1+'General inputs'!$H$30)^'MP Calculations'!$C$40)</f>
        <v>107.17135543642512</v>
      </c>
    </row>
    <row r="337" spans="3:17">
      <c r="C337" s="159"/>
      <c r="D337" s="165" t="s">
        <v>282</v>
      </c>
      <c r="E337" s="162">
        <v>30451</v>
      </c>
      <c r="F337" s="166" t="str">
        <f t="shared" si="13"/>
        <v>Date check - OK</v>
      </c>
      <c r="G337" s="68"/>
      <c r="H337" s="162" t="s">
        <v>293</v>
      </c>
      <c r="I337" s="173">
        <v>20414.77563211487</v>
      </c>
      <c r="J337" s="168">
        <f>IFERROR(MIN('MP Calculations'!$E$30/I337,1),"-")</f>
        <v>0.40513348981719682</v>
      </c>
      <c r="K337" s="12"/>
      <c r="L337" s="159">
        <v>0.69988899999999998</v>
      </c>
      <c r="M337" s="187" t="s">
        <v>294</v>
      </c>
      <c r="N337" s="187">
        <v>237.97403299999999</v>
      </c>
      <c r="O337" s="186">
        <f t="shared" si="14"/>
        <v>166.55540798233699</v>
      </c>
      <c r="P337" s="186">
        <f t="shared" si="15"/>
        <v>67.477173683811188</v>
      </c>
      <c r="Q337" s="215">
        <f>IF(P337="-",0,P337/(1+'General inputs'!$H$30)^'MP Calculations'!$C$40)</f>
        <v>149.88630403079762</v>
      </c>
    </row>
    <row r="338" spans="3:17">
      <c r="C338" s="159"/>
      <c r="D338" s="165" t="s">
        <v>281</v>
      </c>
      <c r="E338" s="162">
        <v>30451</v>
      </c>
      <c r="F338" s="166" t="str">
        <f t="shared" si="13"/>
        <v>Date check - OK</v>
      </c>
      <c r="G338" s="68"/>
      <c r="H338" s="162" t="s">
        <v>293</v>
      </c>
      <c r="I338" s="173">
        <v>20414.77563211487</v>
      </c>
      <c r="J338" s="168">
        <f>IFERROR(MIN('MP Calculations'!$E$30/I338,1),"-")</f>
        <v>0.40513348981719682</v>
      </c>
      <c r="K338" s="12"/>
      <c r="L338" s="159">
        <v>0.90024300000000002</v>
      </c>
      <c r="M338" s="187" t="s">
        <v>294</v>
      </c>
      <c r="N338" s="187">
        <v>192.78728599999999</v>
      </c>
      <c r="O338" s="186">
        <f t="shared" si="14"/>
        <v>173.55540471049801</v>
      </c>
      <c r="P338" s="186">
        <f t="shared" si="15"/>
        <v>70.313106787000024</v>
      </c>
      <c r="Q338" s="215">
        <f>IF(P338="-",0,P338/(1+'General inputs'!$H$30)^'MP Calculations'!$C$40)</f>
        <v>156.18573105344345</v>
      </c>
    </row>
    <row r="339" spans="3:17">
      <c r="C339" s="159"/>
      <c r="D339" s="165" t="s">
        <v>282</v>
      </c>
      <c r="E339" s="162">
        <v>30451</v>
      </c>
      <c r="F339" s="166" t="str">
        <f t="shared" si="13"/>
        <v>Date check - OK</v>
      </c>
      <c r="G339" s="68"/>
      <c r="H339" s="162" t="s">
        <v>293</v>
      </c>
      <c r="I339" s="173">
        <v>20414.77563211487</v>
      </c>
      <c r="J339" s="168">
        <f>IFERROR(MIN('MP Calculations'!$E$30/I339,1),"-")</f>
        <v>0.40513348981719682</v>
      </c>
      <c r="K339" s="12"/>
      <c r="L339" s="159">
        <v>58.196427</v>
      </c>
      <c r="M339" s="187" t="s">
        <v>294</v>
      </c>
      <c r="N339" s="187">
        <v>237.97403299999999</v>
      </c>
      <c r="O339" s="186">
        <f t="shared" si="14"/>
        <v>13849.238439380091</v>
      </c>
      <c r="P339" s="186">
        <f t="shared" si="15"/>
        <v>5610.7903002565254</v>
      </c>
      <c r="Q339" s="215">
        <f>IF(P339="-",0,P339/(1+'General inputs'!$H$30)^'MP Calculations'!$C$40)</f>
        <v>12463.186806519492</v>
      </c>
    </row>
    <row r="340" spans="3:17">
      <c r="C340" s="159"/>
      <c r="D340" s="165" t="s">
        <v>282</v>
      </c>
      <c r="E340" s="162">
        <v>30451</v>
      </c>
      <c r="F340" s="166" t="str">
        <f t="shared" si="13"/>
        <v>Date check - OK</v>
      </c>
      <c r="G340" s="68"/>
      <c r="H340" s="162" t="s">
        <v>293</v>
      </c>
      <c r="I340" s="173">
        <v>20414.77563211487</v>
      </c>
      <c r="J340" s="168">
        <f>IFERROR(MIN('MP Calculations'!$E$30/I340,1),"-")</f>
        <v>0.40513348981719682</v>
      </c>
      <c r="K340" s="12"/>
      <c r="L340" s="159">
        <v>5.3631529999999996</v>
      </c>
      <c r="M340" s="187" t="s">
        <v>294</v>
      </c>
      <c r="N340" s="187">
        <v>237.97403299999999</v>
      </c>
      <c r="O340" s="186">
        <f t="shared" si="14"/>
        <v>1276.291149006049</v>
      </c>
      <c r="P340" s="186">
        <f t="shared" si="15"/>
        <v>517.06828721962052</v>
      </c>
      <c r="Q340" s="215">
        <f>IF(P340="-",0,P340/(1+'General inputs'!$H$30)^'MP Calculations'!$C$40)</f>
        <v>1148.5581015299344</v>
      </c>
    </row>
    <row r="341" spans="3:17">
      <c r="C341" s="159"/>
      <c r="D341" s="165" t="s">
        <v>282</v>
      </c>
      <c r="E341" s="162">
        <v>30451</v>
      </c>
      <c r="F341" s="166" t="str">
        <f t="shared" si="13"/>
        <v>Date check - OK</v>
      </c>
      <c r="G341" s="68"/>
      <c r="H341" s="162" t="s">
        <v>293</v>
      </c>
      <c r="I341" s="173">
        <v>20414.77563211487</v>
      </c>
      <c r="J341" s="168">
        <f>IFERROR(MIN('MP Calculations'!$E$30/I341,1),"-")</f>
        <v>0.40513348981719682</v>
      </c>
      <c r="K341" s="12"/>
      <c r="L341" s="159">
        <v>0.69944300000000004</v>
      </c>
      <c r="M341" s="187" t="s">
        <v>294</v>
      </c>
      <c r="N341" s="187">
        <v>237.97403299999999</v>
      </c>
      <c r="O341" s="186">
        <f t="shared" si="14"/>
        <v>166.44927156361899</v>
      </c>
      <c r="P341" s="186">
        <f t="shared" si="15"/>
        <v>67.434174266099262</v>
      </c>
      <c r="Q341" s="215">
        <f>IF(P341="-",0,P341/(1+'General inputs'!$H$30)^'MP Calculations'!$C$40)</f>
        <v>149.7907898969882</v>
      </c>
    </row>
    <row r="342" spans="3:17">
      <c r="C342" s="159"/>
      <c r="D342" s="165" t="s">
        <v>282</v>
      </c>
      <c r="E342" s="162">
        <v>30451</v>
      </c>
      <c r="F342" s="166" t="str">
        <f t="shared" si="13"/>
        <v>Date check - OK</v>
      </c>
      <c r="G342" s="68"/>
      <c r="H342" s="162" t="s">
        <v>293</v>
      </c>
      <c r="I342" s="173">
        <v>20414.77563211487</v>
      </c>
      <c r="J342" s="168">
        <f>IFERROR(MIN('MP Calculations'!$E$30/I342,1),"-")</f>
        <v>0.40513348981719682</v>
      </c>
      <c r="K342" s="12"/>
      <c r="L342" s="159">
        <v>3.5960459999999999</v>
      </c>
      <c r="M342" s="187" t="s">
        <v>294</v>
      </c>
      <c r="N342" s="187">
        <v>237.97403299999999</v>
      </c>
      <c r="O342" s="186">
        <f t="shared" si="14"/>
        <v>855.76556947351798</v>
      </c>
      <c r="P342" s="186">
        <f t="shared" si="15"/>
        <v>346.69929162620713</v>
      </c>
      <c r="Q342" s="215">
        <f>IF(P342="-",0,P342/(1+'General inputs'!$H$30)^'MP Calculations'!$C$40)</f>
        <v>770.11932472825504</v>
      </c>
    </row>
    <row r="343" spans="3:17">
      <c r="C343" s="159"/>
      <c r="D343" s="165" t="s">
        <v>282</v>
      </c>
      <c r="E343" s="162">
        <v>30451</v>
      </c>
      <c r="F343" s="166" t="str">
        <f t="shared" ref="F343:F406" si="16">IF(E343="","-",IF(OR(E343&lt;$E$15,E343&gt;$E$16),"ERROR - date outside of range","Date check - OK"))</f>
        <v>Date check - OK</v>
      </c>
      <c r="G343" s="68"/>
      <c r="H343" s="162" t="s">
        <v>293</v>
      </c>
      <c r="I343" s="173">
        <v>20414.77563211487</v>
      </c>
      <c r="J343" s="168">
        <f>IFERROR(MIN('MP Calculations'!$E$30/I343,1),"-")</f>
        <v>0.40513348981719682</v>
      </c>
      <c r="K343" s="12"/>
      <c r="L343" s="159">
        <v>10.413186</v>
      </c>
      <c r="M343" s="187" t="s">
        <v>294</v>
      </c>
      <c r="N343" s="187">
        <v>237.97403299999999</v>
      </c>
      <c r="O343" s="186">
        <f t="shared" ref="O343:O406" si="17">IF(N343="","-",L343*N343)</f>
        <v>2478.0678687991376</v>
      </c>
      <c r="P343" s="186">
        <f t="shared" ref="P343:P406" si="18">IF(O343="-","-",IF(OR(E343&lt;$E$15,E343&gt;$E$16),0,O343*J343))</f>
        <v>1003.9482836904581</v>
      </c>
      <c r="Q343" s="215">
        <f>IF(P343="-",0,P343/(1+'General inputs'!$H$30)^'MP Calculations'!$C$40)</f>
        <v>2230.0592847226421</v>
      </c>
    </row>
    <row r="344" spans="3:17">
      <c r="C344" s="159"/>
      <c r="D344" s="165" t="s">
        <v>282</v>
      </c>
      <c r="E344" s="162">
        <v>30451</v>
      </c>
      <c r="F344" s="166" t="str">
        <f t="shared" si="16"/>
        <v>Date check - OK</v>
      </c>
      <c r="G344" s="68"/>
      <c r="H344" s="162" t="s">
        <v>293</v>
      </c>
      <c r="I344" s="173">
        <v>20414.77563211487</v>
      </c>
      <c r="J344" s="168">
        <f>IFERROR(MIN('MP Calculations'!$E$30/I344,1),"-")</f>
        <v>0.40513348981719682</v>
      </c>
      <c r="K344" s="12"/>
      <c r="L344" s="159">
        <v>0.184831</v>
      </c>
      <c r="M344" s="187" t="s">
        <v>294</v>
      </c>
      <c r="N344" s="187">
        <v>237.97403299999999</v>
      </c>
      <c r="O344" s="186">
        <f t="shared" si="17"/>
        <v>43.984978493423</v>
      </c>
      <c r="P344" s="186">
        <f t="shared" si="18"/>
        <v>17.819787836574807</v>
      </c>
      <c r="Q344" s="215">
        <f>IF(P344="-",0,P344/(1+'General inputs'!$H$30)^'MP Calculations'!$C$40)</f>
        <v>39.582898802976409</v>
      </c>
    </row>
    <row r="345" spans="3:17">
      <c r="C345" s="159"/>
      <c r="D345" s="165" t="s">
        <v>282</v>
      </c>
      <c r="E345" s="162">
        <v>30451</v>
      </c>
      <c r="F345" s="166" t="str">
        <f t="shared" si="16"/>
        <v>Date check - OK</v>
      </c>
      <c r="G345" s="68"/>
      <c r="H345" s="162" t="s">
        <v>293</v>
      </c>
      <c r="I345" s="173">
        <v>20414.77563211487</v>
      </c>
      <c r="J345" s="168">
        <f>IFERROR(MIN('MP Calculations'!$E$30/I345,1),"-")</f>
        <v>0.40513348981719682</v>
      </c>
      <c r="K345" s="12"/>
      <c r="L345" s="159">
        <v>28.406317000000001</v>
      </c>
      <c r="M345" s="187" t="s">
        <v>294</v>
      </c>
      <c r="N345" s="187">
        <v>237.97403299999999</v>
      </c>
      <c r="O345" s="186">
        <f t="shared" si="17"/>
        <v>6759.9658191664612</v>
      </c>
      <c r="P345" s="186">
        <f t="shared" si="18"/>
        <v>2738.688543363874</v>
      </c>
      <c r="Q345" s="215">
        <f>IF(P345="-",0,P345/(1+'General inputs'!$H$30)^'MP Calculations'!$C$40)</f>
        <v>6083.4187510551174</v>
      </c>
    </row>
    <row r="346" spans="3:17">
      <c r="C346" s="159"/>
      <c r="D346" s="165" t="s">
        <v>281</v>
      </c>
      <c r="E346" s="162">
        <v>30572</v>
      </c>
      <c r="F346" s="166" t="str">
        <f t="shared" si="16"/>
        <v>Date check - OK</v>
      </c>
      <c r="G346" s="68"/>
      <c r="H346" s="162" t="s">
        <v>293</v>
      </c>
      <c r="I346" s="173">
        <v>20414.77563211487</v>
      </c>
      <c r="J346" s="168">
        <f>IFERROR(MIN('MP Calculations'!$E$30/I346,1),"-")</f>
        <v>0.40513348981719682</v>
      </c>
      <c r="K346" s="12"/>
      <c r="L346" s="159">
        <v>5.3651540000000004</v>
      </c>
      <c r="M346" s="187" t="s">
        <v>294</v>
      </c>
      <c r="N346" s="187">
        <v>192.78728599999999</v>
      </c>
      <c r="O346" s="186">
        <f t="shared" si="17"/>
        <v>1034.333478632044</v>
      </c>
      <c r="P346" s="186">
        <f t="shared" si="18"/>
        <v>419.04313183296097</v>
      </c>
      <c r="Q346" s="215">
        <f>IF(P346="-",0,P346/(1+'General inputs'!$H$30)^'MP Calculations'!$C$40)</f>
        <v>930.81590160024143</v>
      </c>
    </row>
    <row r="347" spans="3:17">
      <c r="C347" s="159"/>
      <c r="D347" s="165" t="s">
        <v>281</v>
      </c>
      <c r="E347" s="162">
        <v>30572</v>
      </c>
      <c r="F347" s="166" t="str">
        <f t="shared" si="16"/>
        <v>Date check - OK</v>
      </c>
      <c r="G347" s="68"/>
      <c r="H347" s="162" t="s">
        <v>293</v>
      </c>
      <c r="I347" s="173">
        <v>20414.77563211487</v>
      </c>
      <c r="J347" s="168">
        <f>IFERROR(MIN('MP Calculations'!$E$30/I347,1),"-")</f>
        <v>0.40513348981719682</v>
      </c>
      <c r="K347" s="12"/>
      <c r="L347" s="159">
        <v>9.1986109999999996</v>
      </c>
      <c r="M347" s="187" t="s">
        <v>294</v>
      </c>
      <c r="N347" s="187">
        <v>192.78728599999999</v>
      </c>
      <c r="O347" s="186">
        <f t="shared" si="17"/>
        <v>1773.3752496597458</v>
      </c>
      <c r="P347" s="186">
        <f t="shared" si="18"/>
        <v>718.45370365009546</v>
      </c>
      <c r="Q347" s="215">
        <f>IF(P347="-",0,P347/(1+'General inputs'!$H$30)^'MP Calculations'!$C$40)</f>
        <v>1595.8933129291158</v>
      </c>
    </row>
    <row r="348" spans="3:17">
      <c r="C348" s="159"/>
      <c r="D348" s="165" t="s">
        <v>281</v>
      </c>
      <c r="E348" s="162">
        <v>30572</v>
      </c>
      <c r="F348" s="166" t="str">
        <f t="shared" si="16"/>
        <v>Date check - OK</v>
      </c>
      <c r="G348" s="68"/>
      <c r="H348" s="162" t="s">
        <v>293</v>
      </c>
      <c r="I348" s="173">
        <v>20414.77563211487</v>
      </c>
      <c r="J348" s="168">
        <f>IFERROR(MIN('MP Calculations'!$E$30/I348,1),"-")</f>
        <v>0.40513348981719682</v>
      </c>
      <c r="K348" s="12"/>
      <c r="L348" s="159">
        <v>5.3987590000000001</v>
      </c>
      <c r="M348" s="187" t="s">
        <v>294</v>
      </c>
      <c r="N348" s="187">
        <v>192.78728599999999</v>
      </c>
      <c r="O348" s="186">
        <f t="shared" si="17"/>
        <v>1040.812095378074</v>
      </c>
      <c r="P348" s="186">
        <f t="shared" si="18"/>
        <v>421.66783644446821</v>
      </c>
      <c r="Q348" s="215">
        <f>IF(P348="-",0,P348/(1+'General inputs'!$H$30)^'MP Calculations'!$C$40)</f>
        <v>936.64612909665175</v>
      </c>
    </row>
    <row r="349" spans="3:17">
      <c r="C349" s="159"/>
      <c r="D349" s="165" t="s">
        <v>281</v>
      </c>
      <c r="E349" s="162">
        <v>30572</v>
      </c>
      <c r="F349" s="166" t="str">
        <f t="shared" si="16"/>
        <v>Date check - OK</v>
      </c>
      <c r="G349" s="68"/>
      <c r="H349" s="162" t="s">
        <v>293</v>
      </c>
      <c r="I349" s="173">
        <v>20414.77563211487</v>
      </c>
      <c r="J349" s="168">
        <f>IFERROR(MIN('MP Calculations'!$E$30/I349,1),"-")</f>
        <v>0.40513348981719682</v>
      </c>
      <c r="K349" s="12"/>
      <c r="L349" s="159">
        <v>0.96114999999999995</v>
      </c>
      <c r="M349" s="187" t="s">
        <v>294</v>
      </c>
      <c r="N349" s="187">
        <v>192.78728599999999</v>
      </c>
      <c r="O349" s="186">
        <f t="shared" si="17"/>
        <v>185.29749993889999</v>
      </c>
      <c r="P349" s="186">
        <f t="shared" si="18"/>
        <v>75.070222804648367</v>
      </c>
      <c r="Q349" s="215">
        <f>IF(P349="-",0,P349/(1+'General inputs'!$H$30)^'MP Calculations'!$C$40)</f>
        <v>166.7526605616674</v>
      </c>
    </row>
    <row r="350" spans="3:17">
      <c r="C350" s="159"/>
      <c r="D350" s="165" t="s">
        <v>281</v>
      </c>
      <c r="E350" s="162">
        <v>30862</v>
      </c>
      <c r="F350" s="166" t="str">
        <f t="shared" si="16"/>
        <v>Date check - OK</v>
      </c>
      <c r="G350" s="68"/>
      <c r="H350" s="162" t="s">
        <v>293</v>
      </c>
      <c r="I350" s="173">
        <v>20414.77563211487</v>
      </c>
      <c r="J350" s="168">
        <f>IFERROR(MIN('MP Calculations'!$E$30/I350,1),"-")</f>
        <v>0.40513348981719682</v>
      </c>
      <c r="K350" s="12"/>
      <c r="L350" s="159">
        <v>27.621448000000001</v>
      </c>
      <c r="M350" s="187" t="s">
        <v>294</v>
      </c>
      <c r="N350" s="187">
        <v>192.78728599999999</v>
      </c>
      <c r="O350" s="186">
        <f t="shared" si="17"/>
        <v>5325.0639953101281</v>
      </c>
      <c r="P350" s="186">
        <f t="shared" si="18"/>
        <v>2157.3617599198974</v>
      </c>
      <c r="Q350" s="215">
        <f>IF(P350="-",0,P350/(1+'General inputs'!$H$30)^'MP Calculations'!$C$40)</f>
        <v>4792.1239583475499</v>
      </c>
    </row>
    <row r="351" spans="3:17">
      <c r="C351" s="159"/>
      <c r="D351" s="165" t="s">
        <v>281</v>
      </c>
      <c r="E351" s="162">
        <v>30952</v>
      </c>
      <c r="F351" s="166" t="str">
        <f t="shared" si="16"/>
        <v>Date check - OK</v>
      </c>
      <c r="G351" s="68"/>
      <c r="H351" s="162" t="s">
        <v>293</v>
      </c>
      <c r="I351" s="173">
        <v>20414.77563211487</v>
      </c>
      <c r="J351" s="168">
        <f>IFERROR(MIN('MP Calculations'!$E$30/I351,1),"-")</f>
        <v>0.40513348981719682</v>
      </c>
      <c r="K351" s="12"/>
      <c r="L351" s="159">
        <v>2.4223569999999999</v>
      </c>
      <c r="M351" s="187" t="s">
        <v>294</v>
      </c>
      <c r="N351" s="187">
        <v>192.78728599999999</v>
      </c>
      <c r="O351" s="186">
        <f t="shared" si="17"/>
        <v>466.99963175310194</v>
      </c>
      <c r="P351" s="186">
        <f t="shared" si="18"/>
        <v>189.19719055547998</v>
      </c>
      <c r="Q351" s="215">
        <f>IF(P351="-",0,P351/(1+'General inputs'!$H$30)^'MP Calculations'!$C$40)</f>
        <v>420.26163926564936</v>
      </c>
    </row>
    <row r="352" spans="3:17">
      <c r="C352" s="159"/>
      <c r="D352" s="165" t="s">
        <v>281</v>
      </c>
      <c r="E352" s="162">
        <v>30952</v>
      </c>
      <c r="F352" s="166" t="str">
        <f t="shared" si="16"/>
        <v>Date check - OK</v>
      </c>
      <c r="G352" s="68"/>
      <c r="H352" s="162" t="s">
        <v>293</v>
      </c>
      <c r="I352" s="173">
        <v>20414.77563211487</v>
      </c>
      <c r="J352" s="168">
        <f>IFERROR(MIN('MP Calculations'!$E$30/I352,1),"-")</f>
        <v>0.40513348981719682</v>
      </c>
      <c r="K352" s="12"/>
      <c r="L352" s="159">
        <v>6.1314640000000002</v>
      </c>
      <c r="M352" s="187" t="s">
        <v>294</v>
      </c>
      <c r="N352" s="187">
        <v>192.78728599999999</v>
      </c>
      <c r="O352" s="186">
        <f t="shared" si="17"/>
        <v>1182.068303766704</v>
      </c>
      <c r="P352" s="186">
        <f t="shared" si="18"/>
        <v>478.89545710729914</v>
      </c>
      <c r="Q352" s="215">
        <f>IF(P352="-",0,P352/(1+'General inputs'!$H$30)^'MP Calculations'!$C$40)</f>
        <v>1063.7652136899376</v>
      </c>
    </row>
    <row r="353" spans="3:17">
      <c r="C353" s="159"/>
      <c r="D353" s="165" t="s">
        <v>281</v>
      </c>
      <c r="E353" s="162">
        <v>31048</v>
      </c>
      <c r="F353" s="166" t="str">
        <f t="shared" si="16"/>
        <v>Date check - OK</v>
      </c>
      <c r="G353" s="68"/>
      <c r="H353" s="162" t="s">
        <v>293</v>
      </c>
      <c r="I353" s="173">
        <v>20414.77563211487</v>
      </c>
      <c r="J353" s="168">
        <f>IFERROR(MIN('MP Calculations'!$E$30/I353,1),"-")</f>
        <v>0.40513348981719682</v>
      </c>
      <c r="K353" s="12"/>
      <c r="L353" s="159">
        <v>0.91544599999999998</v>
      </c>
      <c r="M353" s="187" t="s">
        <v>294</v>
      </c>
      <c r="N353" s="187">
        <v>192.78728599999999</v>
      </c>
      <c r="O353" s="186">
        <f t="shared" si="17"/>
        <v>176.48634981955598</v>
      </c>
      <c r="P353" s="186">
        <f t="shared" si="18"/>
        <v>71.500530807495323</v>
      </c>
      <c r="Q353" s="215">
        <f>IF(P353="-",0,P353/(1+'General inputs'!$H$30)^'MP Calculations'!$C$40)</f>
        <v>158.82334297511954</v>
      </c>
    </row>
    <row r="354" spans="3:17">
      <c r="C354" s="159"/>
      <c r="D354" s="165" t="s">
        <v>281</v>
      </c>
      <c r="E354" s="162">
        <v>31048</v>
      </c>
      <c r="F354" s="166" t="str">
        <f t="shared" si="16"/>
        <v>Date check - OK</v>
      </c>
      <c r="G354" s="68"/>
      <c r="H354" s="162" t="s">
        <v>293</v>
      </c>
      <c r="I354" s="173">
        <v>20414.77563211487</v>
      </c>
      <c r="J354" s="168">
        <f>IFERROR(MIN('MP Calculations'!$E$30/I354,1),"-")</f>
        <v>0.40513348981719682</v>
      </c>
      <c r="K354" s="12"/>
      <c r="L354" s="159">
        <v>31.642502</v>
      </c>
      <c r="M354" s="187" t="s">
        <v>294</v>
      </c>
      <c r="N354" s="187">
        <v>192.78728599999999</v>
      </c>
      <c r="O354" s="186">
        <f t="shared" si="17"/>
        <v>6100.2720828295714</v>
      </c>
      <c r="P354" s="186">
        <f t="shared" si="18"/>
        <v>2471.4245177511643</v>
      </c>
      <c r="Q354" s="215">
        <f>IF(P354="-",0,P354/(1+'General inputs'!$H$30)^'MP Calculations'!$C$40)</f>
        <v>5489.7481093771848</v>
      </c>
    </row>
    <row r="355" spans="3:17">
      <c r="C355" s="159"/>
      <c r="D355" s="165" t="s">
        <v>281</v>
      </c>
      <c r="E355" s="162">
        <v>31413</v>
      </c>
      <c r="F355" s="166" t="str">
        <f t="shared" si="16"/>
        <v>Date check - OK</v>
      </c>
      <c r="G355" s="68"/>
      <c r="H355" s="162" t="s">
        <v>293</v>
      </c>
      <c r="I355" s="173">
        <v>20414.77563211487</v>
      </c>
      <c r="J355" s="168">
        <f>IFERROR(MIN('MP Calculations'!$E$30/I355,1),"-")</f>
        <v>0.40513348981719682</v>
      </c>
      <c r="K355" s="12"/>
      <c r="L355" s="159">
        <v>70.231615000000005</v>
      </c>
      <c r="M355" s="187" t="s">
        <v>294</v>
      </c>
      <c r="N355" s="187">
        <v>192.78728599999999</v>
      </c>
      <c r="O355" s="186">
        <f t="shared" si="17"/>
        <v>13539.762447246891</v>
      </c>
      <c r="P355" s="186">
        <f t="shared" si="18"/>
        <v>5485.4112115489625</v>
      </c>
      <c r="Q355" s="215">
        <f>IF(P355="-",0,P355/(1+'General inputs'!$H$30)^'MP Calculations'!$C$40)</f>
        <v>12184.683615244978</v>
      </c>
    </row>
    <row r="356" spans="3:17">
      <c r="C356" s="159"/>
      <c r="D356" s="165" t="s">
        <v>281</v>
      </c>
      <c r="E356" s="162">
        <v>31413</v>
      </c>
      <c r="F356" s="166" t="str">
        <f t="shared" si="16"/>
        <v>Date check - OK</v>
      </c>
      <c r="G356" s="68"/>
      <c r="H356" s="162" t="s">
        <v>293</v>
      </c>
      <c r="I356" s="173">
        <v>20414.77563211487</v>
      </c>
      <c r="J356" s="168">
        <f>IFERROR(MIN('MP Calculations'!$E$30/I356,1),"-")</f>
        <v>0.40513348981719682</v>
      </c>
      <c r="K356" s="12"/>
      <c r="L356" s="159">
        <v>32.846049999999998</v>
      </c>
      <c r="M356" s="187" t="s">
        <v>294</v>
      </c>
      <c r="N356" s="187">
        <v>192.78728599999999</v>
      </c>
      <c r="O356" s="186">
        <f t="shared" si="17"/>
        <v>6332.3008353202995</v>
      </c>
      <c r="P356" s="186">
        <f t="shared" si="18"/>
        <v>2565.4271359856634</v>
      </c>
      <c r="Q356" s="215">
        <f>IF(P356="-",0,P356/(1+'General inputs'!$H$30)^'MP Calculations'!$C$40)</f>
        <v>5698.5550917562869</v>
      </c>
    </row>
    <row r="357" spans="3:17">
      <c r="C357" s="159"/>
      <c r="D357" s="165" t="s">
        <v>281</v>
      </c>
      <c r="E357" s="162">
        <v>31413</v>
      </c>
      <c r="F357" s="166" t="str">
        <f t="shared" si="16"/>
        <v>Date check - OK</v>
      </c>
      <c r="G357" s="68"/>
      <c r="H357" s="162" t="s">
        <v>293</v>
      </c>
      <c r="I357" s="173">
        <v>20414.77563211487</v>
      </c>
      <c r="J357" s="168">
        <f>IFERROR(MIN('MP Calculations'!$E$30/I357,1),"-")</f>
        <v>0.40513348981719682</v>
      </c>
      <c r="K357" s="12"/>
      <c r="L357" s="159">
        <v>1.5212049999999999</v>
      </c>
      <c r="M357" s="187" t="s">
        <v>294</v>
      </c>
      <c r="N357" s="187">
        <v>192.78728599999999</v>
      </c>
      <c r="O357" s="186">
        <f t="shared" si="17"/>
        <v>293.26898339962997</v>
      </c>
      <c r="P357" s="186">
        <f t="shared" si="18"/>
        <v>118.81308669983366</v>
      </c>
      <c r="Q357" s="215">
        <f>IF(P357="-",0,P357/(1+'General inputs'!$H$30)^'MP Calculations'!$C$40)</f>
        <v>263.91820320419419</v>
      </c>
    </row>
    <row r="358" spans="3:17">
      <c r="C358" s="159"/>
      <c r="D358" s="165" t="s">
        <v>281</v>
      </c>
      <c r="E358" s="162">
        <v>31413</v>
      </c>
      <c r="F358" s="166" t="str">
        <f t="shared" si="16"/>
        <v>Date check - OK</v>
      </c>
      <c r="G358" s="68"/>
      <c r="H358" s="162" t="s">
        <v>293</v>
      </c>
      <c r="I358" s="173">
        <v>20414.77563211487</v>
      </c>
      <c r="J358" s="168">
        <f>IFERROR(MIN('MP Calculations'!$E$30/I358,1),"-")</f>
        <v>0.40513348981719682</v>
      </c>
      <c r="K358" s="12"/>
      <c r="L358" s="159">
        <v>2.0882930000000002</v>
      </c>
      <c r="M358" s="187" t="s">
        <v>294</v>
      </c>
      <c r="N358" s="187">
        <v>192.78728599999999</v>
      </c>
      <c r="O358" s="186">
        <f t="shared" si="17"/>
        <v>402.59633984279805</v>
      </c>
      <c r="P358" s="186">
        <f t="shared" si="18"/>
        <v>163.10526014814295</v>
      </c>
      <c r="Q358" s="215">
        <f>IF(P358="-",0,P358/(1+'General inputs'!$H$30)^'MP Calculations'!$C$40)</f>
        <v>362.30392111772994</v>
      </c>
    </row>
    <row r="359" spans="3:17">
      <c r="C359" s="159"/>
      <c r="D359" s="165" t="s">
        <v>281</v>
      </c>
      <c r="E359" s="162">
        <v>31413</v>
      </c>
      <c r="F359" s="166" t="str">
        <f t="shared" si="16"/>
        <v>Date check - OK</v>
      </c>
      <c r="G359" s="68"/>
      <c r="H359" s="162" t="s">
        <v>293</v>
      </c>
      <c r="I359" s="173">
        <v>20414.77563211487</v>
      </c>
      <c r="J359" s="168">
        <f>IFERROR(MIN('MP Calculations'!$E$30/I359,1),"-")</f>
        <v>0.40513348981719682</v>
      </c>
      <c r="K359" s="12"/>
      <c r="L359" s="159">
        <v>0.262992</v>
      </c>
      <c r="M359" s="187" t="s">
        <v>294</v>
      </c>
      <c r="N359" s="187">
        <v>192.78728599999999</v>
      </c>
      <c r="O359" s="186">
        <f t="shared" si="17"/>
        <v>50.701513919711999</v>
      </c>
      <c r="P359" s="186">
        <f t="shared" si="18"/>
        <v>20.540881273308106</v>
      </c>
      <c r="Q359" s="215">
        <f>IF(P359="-",0,P359/(1+'General inputs'!$H$30)^'MP Calculations'!$C$40)</f>
        <v>45.627233737121195</v>
      </c>
    </row>
    <row r="360" spans="3:17">
      <c r="C360" s="159"/>
      <c r="D360" s="165" t="s">
        <v>281</v>
      </c>
      <c r="E360" s="162">
        <v>31413</v>
      </c>
      <c r="F360" s="166" t="str">
        <f t="shared" si="16"/>
        <v>Date check - OK</v>
      </c>
      <c r="G360" s="68"/>
      <c r="H360" s="162" t="s">
        <v>293</v>
      </c>
      <c r="I360" s="173">
        <v>20414.77563211487</v>
      </c>
      <c r="J360" s="168">
        <f>IFERROR(MIN('MP Calculations'!$E$30/I360,1),"-")</f>
        <v>0.40513348981719682</v>
      </c>
      <c r="K360" s="12"/>
      <c r="L360" s="159">
        <v>1.522065</v>
      </c>
      <c r="M360" s="187" t="s">
        <v>294</v>
      </c>
      <c r="N360" s="187">
        <v>192.78728599999999</v>
      </c>
      <c r="O360" s="186">
        <f t="shared" si="17"/>
        <v>293.43478046558999</v>
      </c>
      <c r="P360" s="186">
        <f t="shared" si="18"/>
        <v>118.8802566437675</v>
      </c>
      <c r="Q360" s="215">
        <f>IF(P360="-",0,P360/(1+'General inputs'!$H$30)^'MP Calculations'!$C$40)</f>
        <v>264.06740706215919</v>
      </c>
    </row>
    <row r="361" spans="3:17">
      <c r="C361" s="159"/>
      <c r="D361" s="165" t="s">
        <v>281</v>
      </c>
      <c r="E361" s="162">
        <v>31413</v>
      </c>
      <c r="F361" s="166" t="str">
        <f t="shared" si="16"/>
        <v>Date check - OK</v>
      </c>
      <c r="G361" s="68"/>
      <c r="H361" s="162" t="s">
        <v>293</v>
      </c>
      <c r="I361" s="173">
        <v>20414.77563211487</v>
      </c>
      <c r="J361" s="168">
        <f>IFERROR(MIN('MP Calculations'!$E$30/I361,1),"-")</f>
        <v>0.40513348981719682</v>
      </c>
      <c r="K361" s="12"/>
      <c r="L361" s="159">
        <v>0.61943599999999999</v>
      </c>
      <c r="M361" s="187" t="s">
        <v>294</v>
      </c>
      <c r="N361" s="187">
        <v>192.78728599999999</v>
      </c>
      <c r="O361" s="186">
        <f t="shared" si="17"/>
        <v>119.419385290696</v>
      </c>
      <c r="P361" s="186">
        <f t="shared" si="18"/>
        <v>48.38079231464409</v>
      </c>
      <c r="Q361" s="215">
        <f>IF(P361="-",0,P361/(1+'General inputs'!$H$30)^'MP Calculations'!$C$40)</f>
        <v>107.46772204929199</v>
      </c>
    </row>
    <row r="362" spans="3:17">
      <c r="C362" s="159"/>
      <c r="D362" s="165" t="s">
        <v>281</v>
      </c>
      <c r="E362" s="162">
        <v>31413</v>
      </c>
      <c r="F362" s="166" t="str">
        <f t="shared" si="16"/>
        <v>Date check - OK</v>
      </c>
      <c r="G362" s="68"/>
      <c r="H362" s="162" t="s">
        <v>293</v>
      </c>
      <c r="I362" s="173">
        <v>20414.77563211487</v>
      </c>
      <c r="J362" s="168">
        <f>IFERROR(MIN('MP Calculations'!$E$30/I362,1),"-")</f>
        <v>0.40513348981719682</v>
      </c>
      <c r="K362" s="12"/>
      <c r="L362" s="159">
        <v>3.701908</v>
      </c>
      <c r="M362" s="187" t="s">
        <v>294</v>
      </c>
      <c r="N362" s="187">
        <v>192.78728599999999</v>
      </c>
      <c r="O362" s="186">
        <f t="shared" si="17"/>
        <v>713.68079634168794</v>
      </c>
      <c r="P362" s="186">
        <f t="shared" si="18"/>
        <v>289.13599163742413</v>
      </c>
      <c r="Q362" s="215">
        <f>IF(P362="-",0,P362/(1+'General inputs'!$H$30)^'MP Calculations'!$C$40)</f>
        <v>642.25459933883462</v>
      </c>
    </row>
    <row r="363" spans="3:17">
      <c r="C363" s="159"/>
      <c r="D363" s="165" t="s">
        <v>281</v>
      </c>
      <c r="E363" s="162">
        <v>31413</v>
      </c>
      <c r="F363" s="166" t="str">
        <f t="shared" si="16"/>
        <v>Date check - OK</v>
      </c>
      <c r="G363" s="68"/>
      <c r="H363" s="162" t="s">
        <v>293</v>
      </c>
      <c r="I363" s="173">
        <v>20414.77563211487</v>
      </c>
      <c r="J363" s="168">
        <f>IFERROR(MIN('MP Calculations'!$E$30/I363,1),"-")</f>
        <v>0.40513348981719682</v>
      </c>
      <c r="K363" s="12"/>
      <c r="L363" s="159">
        <v>0.22504199999999999</v>
      </c>
      <c r="M363" s="187" t="s">
        <v>294</v>
      </c>
      <c r="N363" s="187">
        <v>192.78728599999999</v>
      </c>
      <c r="O363" s="186">
        <f t="shared" si="17"/>
        <v>43.385236416011999</v>
      </c>
      <c r="P363" s="186">
        <f t="shared" si="18"/>
        <v>17.576812235763075</v>
      </c>
      <c r="Q363" s="215">
        <f>IF(P363="-",0,P363/(1+'General inputs'!$H$30)^'MP Calculations'!$C$40)</f>
        <v>39.0431797722715</v>
      </c>
    </row>
    <row r="364" spans="3:17">
      <c r="C364" s="159"/>
      <c r="D364" s="165" t="s">
        <v>281</v>
      </c>
      <c r="E364" s="162">
        <v>31539</v>
      </c>
      <c r="F364" s="166" t="str">
        <f t="shared" si="16"/>
        <v>Date check - OK</v>
      </c>
      <c r="G364" s="68"/>
      <c r="H364" s="162" t="s">
        <v>293</v>
      </c>
      <c r="I364" s="173">
        <v>20414.77563211487</v>
      </c>
      <c r="J364" s="168">
        <f>IFERROR(MIN('MP Calculations'!$E$30/I364,1),"-")</f>
        <v>0.40513348981719682</v>
      </c>
      <c r="K364" s="12"/>
      <c r="L364" s="159">
        <v>58.748455</v>
      </c>
      <c r="M364" s="187" t="s">
        <v>294</v>
      </c>
      <c r="N364" s="187">
        <v>192.78728599999999</v>
      </c>
      <c r="O364" s="186">
        <f t="shared" si="17"/>
        <v>11325.95519614313</v>
      </c>
      <c r="P364" s="186">
        <f t="shared" si="18"/>
        <v>4588.5237541266797</v>
      </c>
      <c r="Q364" s="215">
        <f>IF(P364="-",0,P364/(1+'General inputs'!$H$30)^'MP Calculations'!$C$40)</f>
        <v>10192.437366839089</v>
      </c>
    </row>
    <row r="365" spans="3:17">
      <c r="C365" s="159"/>
      <c r="D365" s="165" t="s">
        <v>281</v>
      </c>
      <c r="E365" s="162">
        <v>31539</v>
      </c>
      <c r="F365" s="166" t="str">
        <f t="shared" si="16"/>
        <v>Date check - OK</v>
      </c>
      <c r="G365" s="68"/>
      <c r="H365" s="162" t="s">
        <v>293</v>
      </c>
      <c r="I365" s="173">
        <v>20414.77563211487</v>
      </c>
      <c r="J365" s="168">
        <f>IFERROR(MIN('MP Calculations'!$E$30/I365,1),"-")</f>
        <v>0.40513348981719682</v>
      </c>
      <c r="K365" s="12"/>
      <c r="L365" s="159">
        <v>5.2980609999999997</v>
      </c>
      <c r="M365" s="187" t="s">
        <v>294</v>
      </c>
      <c r="N365" s="187">
        <v>192.78728599999999</v>
      </c>
      <c r="O365" s="186">
        <f t="shared" si="17"/>
        <v>1021.3988012524459</v>
      </c>
      <c r="P365" s="186">
        <f t="shared" si="18"/>
        <v>413.80286084650481</v>
      </c>
      <c r="Q365" s="215">
        <f>IF(P365="-",0,P365/(1+'General inputs'!$H$30)^'MP Calculations'!$C$40)</f>
        <v>919.17574527181807</v>
      </c>
    </row>
    <row r="366" spans="3:17">
      <c r="C366" s="159"/>
      <c r="D366" s="165" t="s">
        <v>281</v>
      </c>
      <c r="E366" s="162">
        <v>31539</v>
      </c>
      <c r="F366" s="166" t="str">
        <f t="shared" si="16"/>
        <v>Date check - OK</v>
      </c>
      <c r="G366" s="68"/>
      <c r="H366" s="162" t="s">
        <v>293</v>
      </c>
      <c r="I366" s="173">
        <v>20414.77563211487</v>
      </c>
      <c r="J366" s="168">
        <f>IFERROR(MIN('MP Calculations'!$E$30/I366,1),"-")</f>
        <v>0.40513348981719682</v>
      </c>
      <c r="K366" s="12"/>
      <c r="L366" s="159">
        <v>5.8890789999999997</v>
      </c>
      <c r="M366" s="187" t="s">
        <v>294</v>
      </c>
      <c r="N366" s="187">
        <v>192.78728599999999</v>
      </c>
      <c r="O366" s="186">
        <f t="shared" si="17"/>
        <v>1135.3395574495939</v>
      </c>
      <c r="P366" s="186">
        <f t="shared" si="18"/>
        <v>459.96407703706581</v>
      </c>
      <c r="Q366" s="215">
        <f>IF(P366="-",0,P366/(1+'General inputs'!$H$30)^'MP Calculations'!$C$40)</f>
        <v>1021.7131472796583</v>
      </c>
    </row>
    <row r="367" spans="3:17">
      <c r="C367" s="159"/>
      <c r="D367" s="165" t="s">
        <v>281</v>
      </c>
      <c r="E367" s="162">
        <v>31539</v>
      </c>
      <c r="F367" s="166" t="str">
        <f t="shared" si="16"/>
        <v>Date check - OK</v>
      </c>
      <c r="G367" s="68"/>
      <c r="H367" s="162" t="s">
        <v>293</v>
      </c>
      <c r="I367" s="173">
        <v>20414.77563211487</v>
      </c>
      <c r="J367" s="168">
        <f>IFERROR(MIN('MP Calculations'!$E$30/I367,1),"-")</f>
        <v>0.40513348981719682</v>
      </c>
      <c r="K367" s="12"/>
      <c r="L367" s="159">
        <v>7.1778440000000003</v>
      </c>
      <c r="M367" s="187" t="s">
        <v>294</v>
      </c>
      <c r="N367" s="187">
        <v>192.78728599999999</v>
      </c>
      <c r="O367" s="186">
        <f t="shared" si="17"/>
        <v>1383.7970640913841</v>
      </c>
      <c r="P367" s="186">
        <f t="shared" si="18"/>
        <v>560.62253377413356</v>
      </c>
      <c r="Q367" s="215">
        <f>IF(P367="-",0,P367/(1+'General inputs'!$H$30)^'MP Calculations'!$C$40)</f>
        <v>1245.304670547366</v>
      </c>
    </row>
    <row r="368" spans="3:17">
      <c r="C368" s="159"/>
      <c r="D368" s="165" t="s">
        <v>281</v>
      </c>
      <c r="E368" s="162">
        <v>31539</v>
      </c>
      <c r="F368" s="166" t="str">
        <f t="shared" si="16"/>
        <v>Date check - OK</v>
      </c>
      <c r="G368" s="68"/>
      <c r="H368" s="162" t="s">
        <v>293</v>
      </c>
      <c r="I368" s="173">
        <v>20414.77563211487</v>
      </c>
      <c r="J368" s="168">
        <f>IFERROR(MIN('MP Calculations'!$E$30/I368,1),"-")</f>
        <v>0.40513348981719682</v>
      </c>
      <c r="K368" s="12"/>
      <c r="L368" s="159">
        <v>27.093326000000001</v>
      </c>
      <c r="M368" s="187" t="s">
        <v>294</v>
      </c>
      <c r="N368" s="187">
        <v>192.78728599999999</v>
      </c>
      <c r="O368" s="186">
        <f t="shared" si="17"/>
        <v>5223.2487882532359</v>
      </c>
      <c r="P368" s="186">
        <f t="shared" si="18"/>
        <v>2116.1130097684782</v>
      </c>
      <c r="Q368" s="215">
        <f>IF(P368="-",0,P368/(1+'General inputs'!$H$30)^'MP Calculations'!$C$40)</f>
        <v>4700.4985631426916</v>
      </c>
    </row>
    <row r="369" spans="3:17">
      <c r="C369" s="159"/>
      <c r="D369" s="165" t="s">
        <v>281</v>
      </c>
      <c r="E369" s="162">
        <v>32143</v>
      </c>
      <c r="F369" s="166" t="str">
        <f t="shared" si="16"/>
        <v>Date check - OK</v>
      </c>
      <c r="G369" s="68"/>
      <c r="H369" s="162" t="s">
        <v>293</v>
      </c>
      <c r="I369" s="173">
        <v>20414.77563211487</v>
      </c>
      <c r="J369" s="168">
        <f>IFERROR(MIN('MP Calculations'!$E$30/I369,1),"-")</f>
        <v>0.40513348981719682</v>
      </c>
      <c r="K369" s="12"/>
      <c r="L369" s="159">
        <v>0.59868200000000005</v>
      </c>
      <c r="M369" s="187" t="s">
        <v>294</v>
      </c>
      <c r="N369" s="187">
        <v>192.78728599999999</v>
      </c>
      <c r="O369" s="186">
        <f t="shared" si="17"/>
        <v>115.41827795705201</v>
      </c>
      <c r="P369" s="186">
        <f t="shared" si="18"/>
        <v>46.759809737431723</v>
      </c>
      <c r="Q369" s="215">
        <f>IF(P369="-",0,P369/(1+'General inputs'!$H$30)^'MP Calculations'!$C$40)</f>
        <v>103.86705127230938</v>
      </c>
    </row>
    <row r="370" spans="3:17">
      <c r="C370" s="159"/>
      <c r="D370" s="165" t="s">
        <v>291</v>
      </c>
      <c r="E370" s="162">
        <v>32143</v>
      </c>
      <c r="F370" s="166" t="str">
        <f t="shared" si="16"/>
        <v>Date check - OK</v>
      </c>
      <c r="G370" s="68"/>
      <c r="H370" s="162" t="s">
        <v>293</v>
      </c>
      <c r="I370" s="173">
        <v>20414.77563211487</v>
      </c>
      <c r="J370" s="168">
        <f>IFERROR(MIN('MP Calculations'!$E$30/I370,1),"-")</f>
        <v>0.40513348981719682</v>
      </c>
      <c r="K370" s="12"/>
      <c r="L370" s="159">
        <v>0.38609100000000002</v>
      </c>
      <c r="M370" s="187" t="s">
        <v>294</v>
      </c>
      <c r="N370" s="187">
        <v>297.51652200000001</v>
      </c>
      <c r="O370" s="186">
        <f t="shared" si="17"/>
        <v>114.86845149550201</v>
      </c>
      <c r="P370" s="186">
        <f t="shared" si="18"/>
        <v>46.537056624270136</v>
      </c>
      <c r="Q370" s="215">
        <f>IF(P370="-",0,P370/(1+'General inputs'!$H$30)^'MP Calculations'!$C$40)</f>
        <v>103.37225223108703</v>
      </c>
    </row>
    <row r="371" spans="3:17">
      <c r="C371" s="159"/>
      <c r="D371" s="165" t="s">
        <v>291</v>
      </c>
      <c r="E371" s="162">
        <v>32174</v>
      </c>
      <c r="F371" s="166" t="str">
        <f t="shared" si="16"/>
        <v>Date check - OK</v>
      </c>
      <c r="G371" s="68"/>
      <c r="H371" s="162" t="s">
        <v>293</v>
      </c>
      <c r="I371" s="173">
        <v>20414.77563211487</v>
      </c>
      <c r="J371" s="168">
        <f>IFERROR(MIN('MP Calculations'!$E$30/I371,1),"-")</f>
        <v>0.40513348981719682</v>
      </c>
      <c r="K371" s="12"/>
      <c r="L371" s="159">
        <v>0.28883900000000001</v>
      </c>
      <c r="M371" s="187" t="s">
        <v>294</v>
      </c>
      <c r="N371" s="187">
        <v>297.51652200000001</v>
      </c>
      <c r="O371" s="186">
        <f t="shared" si="17"/>
        <v>85.934374697958006</v>
      </c>
      <c r="P371" s="186">
        <f t="shared" si="18"/>
        <v>34.814893116642345</v>
      </c>
      <c r="Q371" s="215">
        <f>IF(P371="-",0,P371/(1+'General inputs'!$H$30)^'MP Calculations'!$C$40)</f>
        <v>77.333939310097733</v>
      </c>
    </row>
    <row r="372" spans="3:17">
      <c r="C372" s="159"/>
      <c r="D372" s="165" t="s">
        <v>291</v>
      </c>
      <c r="E372" s="162">
        <v>32174</v>
      </c>
      <c r="F372" s="166" t="str">
        <f t="shared" si="16"/>
        <v>Date check - OK</v>
      </c>
      <c r="G372" s="68"/>
      <c r="H372" s="162" t="s">
        <v>293</v>
      </c>
      <c r="I372" s="173">
        <v>20414.77563211487</v>
      </c>
      <c r="J372" s="168">
        <f>IFERROR(MIN('MP Calculations'!$E$30/I372,1),"-")</f>
        <v>0.40513348981719682</v>
      </c>
      <c r="K372" s="12"/>
      <c r="L372" s="159">
        <v>1.261334</v>
      </c>
      <c r="M372" s="187" t="s">
        <v>294</v>
      </c>
      <c r="N372" s="187">
        <v>297.51652200000001</v>
      </c>
      <c r="O372" s="186">
        <f t="shared" si="17"/>
        <v>375.26770476034801</v>
      </c>
      <c r="P372" s="186">
        <f t="shared" si="18"/>
        <v>152.03351484524927</v>
      </c>
      <c r="Q372" s="215">
        <f>IF(P372="-",0,P372/(1+'General inputs'!$H$30)^'MP Calculations'!$C$40)</f>
        <v>337.71037500393925</v>
      </c>
    </row>
    <row r="373" spans="3:17">
      <c r="C373" s="159"/>
      <c r="D373" s="165" t="s">
        <v>291</v>
      </c>
      <c r="E373" s="162">
        <v>32174</v>
      </c>
      <c r="F373" s="166" t="str">
        <f t="shared" si="16"/>
        <v>Date check - OK</v>
      </c>
      <c r="G373" s="68"/>
      <c r="H373" s="162" t="s">
        <v>293</v>
      </c>
      <c r="I373" s="173">
        <v>20414.77563211487</v>
      </c>
      <c r="J373" s="168">
        <f>IFERROR(MIN('MP Calculations'!$E$30/I373,1),"-")</f>
        <v>0.40513348981719682</v>
      </c>
      <c r="K373" s="12"/>
      <c r="L373" s="159">
        <v>1.041555</v>
      </c>
      <c r="M373" s="187" t="s">
        <v>294</v>
      </c>
      <c r="N373" s="187">
        <v>297.51652200000001</v>
      </c>
      <c r="O373" s="186">
        <f t="shared" si="17"/>
        <v>309.87982107171001</v>
      </c>
      <c r="P373" s="186">
        <f t="shared" si="18"/>
        <v>125.54269333471041</v>
      </c>
      <c r="Q373" s="215">
        <f>IF(P373="-",0,P373/(1+'General inputs'!$H$30)^'MP Calculations'!$C$40)</f>
        <v>278.86660443405788</v>
      </c>
    </row>
    <row r="374" spans="3:17">
      <c r="C374" s="159"/>
      <c r="D374" s="165" t="s">
        <v>291</v>
      </c>
      <c r="E374" s="162">
        <v>32174</v>
      </c>
      <c r="F374" s="166" t="str">
        <f t="shared" si="16"/>
        <v>Date check - OK</v>
      </c>
      <c r="G374" s="68"/>
      <c r="H374" s="162" t="s">
        <v>293</v>
      </c>
      <c r="I374" s="173">
        <v>20414.77563211487</v>
      </c>
      <c r="J374" s="168">
        <f>IFERROR(MIN('MP Calculations'!$E$30/I374,1),"-")</f>
        <v>0.40513348981719682</v>
      </c>
      <c r="K374" s="12"/>
      <c r="L374" s="159">
        <v>0.40844200000000003</v>
      </c>
      <c r="M374" s="187" t="s">
        <v>294</v>
      </c>
      <c r="N374" s="187">
        <v>297.51652200000001</v>
      </c>
      <c r="O374" s="186">
        <f t="shared" si="17"/>
        <v>121.51824327872401</v>
      </c>
      <c r="P374" s="186">
        <f t="shared" si="18"/>
        <v>49.231109975964578</v>
      </c>
      <c r="Q374" s="215">
        <f>IF(P374="-",0,P374/(1+'General inputs'!$H$30)^'MP Calculations'!$C$40)</f>
        <v>109.35652332162532</v>
      </c>
    </row>
    <row r="375" spans="3:17">
      <c r="C375" s="159"/>
      <c r="D375" s="165" t="s">
        <v>289</v>
      </c>
      <c r="E375" s="162">
        <v>32283</v>
      </c>
      <c r="F375" s="166" t="str">
        <f t="shared" si="16"/>
        <v>Date check - OK</v>
      </c>
      <c r="G375" s="68"/>
      <c r="H375" s="162" t="s">
        <v>293</v>
      </c>
      <c r="I375" s="173">
        <v>20414.77563211487</v>
      </c>
      <c r="J375" s="168">
        <f>IFERROR(MIN('MP Calculations'!$E$30/I375,1),"-")</f>
        <v>0.40513348981719682</v>
      </c>
      <c r="K375" s="12"/>
      <c r="L375" s="159">
        <v>0.18788299999999999</v>
      </c>
      <c r="M375" s="187" t="s">
        <v>294</v>
      </c>
      <c r="N375" s="187">
        <v>560.03424299999995</v>
      </c>
      <c r="O375" s="186">
        <f t="shared" si="17"/>
        <v>105.22091367756899</v>
      </c>
      <c r="P375" s="186">
        <f t="shared" si="18"/>
        <v>42.628515959947542</v>
      </c>
      <c r="Q375" s="215">
        <f>IF(P375="-",0,P375/(1+'General inputs'!$H$30)^'MP Calculations'!$C$40)</f>
        <v>94.690253825603378</v>
      </c>
    </row>
    <row r="376" spans="3:17">
      <c r="C376" s="159"/>
      <c r="D376" s="165" t="s">
        <v>281</v>
      </c>
      <c r="E376" s="162">
        <v>32301</v>
      </c>
      <c r="F376" s="166" t="str">
        <f t="shared" si="16"/>
        <v>Date check - OK</v>
      </c>
      <c r="G376" s="68"/>
      <c r="H376" s="162" t="s">
        <v>293</v>
      </c>
      <c r="I376" s="173">
        <v>20414.77563211487</v>
      </c>
      <c r="J376" s="168">
        <f>IFERROR(MIN('MP Calculations'!$E$30/I376,1),"-")</f>
        <v>0.40513348981719682</v>
      </c>
      <c r="K376" s="12"/>
      <c r="L376" s="159">
        <v>0.66787600000000003</v>
      </c>
      <c r="M376" s="187" t="s">
        <v>294</v>
      </c>
      <c r="N376" s="187">
        <v>192.78728599999999</v>
      </c>
      <c r="O376" s="186">
        <f t="shared" si="17"/>
        <v>128.75800142453599</v>
      </c>
      <c r="P376" s="186">
        <f t="shared" si="18"/>
        <v>52.164178459009868</v>
      </c>
      <c r="Q376" s="215">
        <f>IF(P376="-",0,P376/(1+'General inputs'!$H$30)^'MP Calculations'!$C$40)</f>
        <v>115.87171609559816</v>
      </c>
    </row>
    <row r="377" spans="3:17">
      <c r="C377" s="159"/>
      <c r="D377" s="165" t="s">
        <v>281</v>
      </c>
      <c r="E377" s="162">
        <v>32301</v>
      </c>
      <c r="F377" s="166" t="str">
        <f t="shared" si="16"/>
        <v>Date check - OK</v>
      </c>
      <c r="G377" s="68"/>
      <c r="H377" s="162" t="s">
        <v>293</v>
      </c>
      <c r="I377" s="173">
        <v>20414.77563211487</v>
      </c>
      <c r="J377" s="168">
        <f>IFERROR(MIN('MP Calculations'!$E$30/I377,1),"-")</f>
        <v>0.40513348981719682</v>
      </c>
      <c r="K377" s="12"/>
      <c r="L377" s="159">
        <v>0.51071</v>
      </c>
      <c r="M377" s="187" t="s">
        <v>294</v>
      </c>
      <c r="N377" s="187">
        <v>192.78728599999999</v>
      </c>
      <c r="O377" s="186">
        <f t="shared" si="17"/>
        <v>98.458394833059998</v>
      </c>
      <c r="P377" s="186">
        <f t="shared" si="18"/>
        <v>39.888793100517056</v>
      </c>
      <c r="Q377" s="215">
        <f>IF(P377="-",0,P377/(1+'General inputs'!$H$30)^'MP Calculations'!$C$40)</f>
        <v>88.604537559641216</v>
      </c>
    </row>
    <row r="378" spans="3:17">
      <c r="C378" s="159"/>
      <c r="D378" s="165" t="s">
        <v>281</v>
      </c>
      <c r="E378" s="162">
        <v>32301</v>
      </c>
      <c r="F378" s="166" t="str">
        <f t="shared" si="16"/>
        <v>Date check - OK</v>
      </c>
      <c r="G378" s="68"/>
      <c r="H378" s="162" t="s">
        <v>293</v>
      </c>
      <c r="I378" s="173">
        <v>20414.77563211487</v>
      </c>
      <c r="J378" s="168">
        <f>IFERROR(MIN('MP Calculations'!$E$30/I378,1),"-")</f>
        <v>0.40513348981719682</v>
      </c>
      <c r="K378" s="12"/>
      <c r="L378" s="159">
        <v>16.676618000000001</v>
      </c>
      <c r="M378" s="187" t="s">
        <v>294</v>
      </c>
      <c r="N378" s="187">
        <v>192.78728599999999</v>
      </c>
      <c r="O378" s="186">
        <f t="shared" si="17"/>
        <v>3215.0399238787481</v>
      </c>
      <c r="P378" s="186">
        <f t="shared" si="18"/>
        <v>1302.5203442626121</v>
      </c>
      <c r="Q378" s="215">
        <f>IF(P378="-",0,P378/(1+'General inputs'!$H$30)^'MP Calculations'!$C$40)</f>
        <v>2893.2741202419943</v>
      </c>
    </row>
    <row r="379" spans="3:17">
      <c r="C379" s="159"/>
      <c r="D379" s="165" t="s">
        <v>281</v>
      </c>
      <c r="E379" s="162">
        <v>32301</v>
      </c>
      <c r="F379" s="166" t="str">
        <f t="shared" si="16"/>
        <v>Date check - OK</v>
      </c>
      <c r="G379" s="68"/>
      <c r="H379" s="162" t="s">
        <v>293</v>
      </c>
      <c r="I379" s="173">
        <v>20414.77563211487</v>
      </c>
      <c r="J379" s="168">
        <f>IFERROR(MIN('MP Calculations'!$E$30/I379,1),"-")</f>
        <v>0.40513348981719682</v>
      </c>
      <c r="K379" s="12"/>
      <c r="L379" s="159">
        <v>3.7305280000000001</v>
      </c>
      <c r="M379" s="187" t="s">
        <v>294</v>
      </c>
      <c r="N379" s="187">
        <v>192.78728599999999</v>
      </c>
      <c r="O379" s="186">
        <f t="shared" si="17"/>
        <v>719.19836846700798</v>
      </c>
      <c r="P379" s="186">
        <f t="shared" si="18"/>
        <v>291.37134488787314</v>
      </c>
      <c r="Q379" s="215">
        <f>IF(P379="-",0,P379/(1+'General inputs'!$H$30)^'MP Calculations'!$C$40)</f>
        <v>647.21996493762254</v>
      </c>
    </row>
    <row r="380" spans="3:17">
      <c r="C380" s="159"/>
      <c r="D380" s="165" t="s">
        <v>281</v>
      </c>
      <c r="E380" s="162">
        <v>32301</v>
      </c>
      <c r="F380" s="166" t="str">
        <f t="shared" si="16"/>
        <v>Date check - OK</v>
      </c>
      <c r="G380" s="68"/>
      <c r="H380" s="162" t="s">
        <v>293</v>
      </c>
      <c r="I380" s="173">
        <v>20414.77563211487</v>
      </c>
      <c r="J380" s="168">
        <f>IFERROR(MIN('MP Calculations'!$E$30/I380,1),"-")</f>
        <v>0.40513348981719682</v>
      </c>
      <c r="K380" s="12"/>
      <c r="L380" s="159">
        <v>0.505633</v>
      </c>
      <c r="M380" s="187" t="s">
        <v>294</v>
      </c>
      <c r="N380" s="187">
        <v>192.78728599999999</v>
      </c>
      <c r="O380" s="186">
        <f t="shared" si="17"/>
        <v>97.479613782038001</v>
      </c>
      <c r="P380" s="186">
        <f t="shared" si="18"/>
        <v>39.492256117549573</v>
      </c>
      <c r="Q380" s="215">
        <f>IF(P380="-",0,P380/(1+'General inputs'!$H$30)^'MP Calculations'!$C$40)</f>
        <v>87.723714319073579</v>
      </c>
    </row>
    <row r="381" spans="3:17">
      <c r="C381" s="159"/>
      <c r="D381" s="165" t="s">
        <v>281</v>
      </c>
      <c r="E381" s="162">
        <v>32301</v>
      </c>
      <c r="F381" s="166" t="str">
        <f t="shared" si="16"/>
        <v>Date check - OK</v>
      </c>
      <c r="G381" s="68"/>
      <c r="H381" s="162" t="s">
        <v>293</v>
      </c>
      <c r="I381" s="173">
        <v>20414.77563211487</v>
      </c>
      <c r="J381" s="168">
        <f>IFERROR(MIN('MP Calculations'!$E$30/I381,1),"-")</f>
        <v>0.40513348981719682</v>
      </c>
      <c r="K381" s="12"/>
      <c r="L381" s="159">
        <v>14.426906000000001</v>
      </c>
      <c r="M381" s="187" t="s">
        <v>294</v>
      </c>
      <c r="N381" s="187">
        <v>192.78728599999999</v>
      </c>
      <c r="O381" s="186">
        <f t="shared" si="17"/>
        <v>2781.3240531171159</v>
      </c>
      <c r="P381" s="186">
        <f t="shared" si="18"/>
        <v>1126.8075199518478</v>
      </c>
      <c r="Q381" s="215">
        <f>IF(P381="-",0,P381/(1+'General inputs'!$H$30)^'MP Calculations'!$C$40)</f>
        <v>2502.9651554628131</v>
      </c>
    </row>
    <row r="382" spans="3:17">
      <c r="C382" s="159"/>
      <c r="D382" s="165" t="s">
        <v>281</v>
      </c>
      <c r="E382" s="162">
        <v>32301</v>
      </c>
      <c r="F382" s="166" t="str">
        <f t="shared" si="16"/>
        <v>Date check - OK</v>
      </c>
      <c r="G382" s="68"/>
      <c r="H382" s="162" t="s">
        <v>293</v>
      </c>
      <c r="I382" s="173">
        <v>20414.77563211487</v>
      </c>
      <c r="J382" s="168">
        <f>IFERROR(MIN('MP Calculations'!$E$30/I382,1),"-")</f>
        <v>0.40513348981719682</v>
      </c>
      <c r="K382" s="12"/>
      <c r="L382" s="159">
        <v>27.467497999999999</v>
      </c>
      <c r="M382" s="187" t="s">
        <v>294</v>
      </c>
      <c r="N382" s="187">
        <v>192.78728599999999</v>
      </c>
      <c r="O382" s="186">
        <f t="shared" si="17"/>
        <v>5295.384392630428</v>
      </c>
      <c r="P382" s="186">
        <f t="shared" si="18"/>
        <v>2145.3375589098823</v>
      </c>
      <c r="Q382" s="215">
        <f>IF(P382="-",0,P382/(1+'General inputs'!$H$30)^'MP Calculations'!$C$40)</f>
        <v>4765.4147328432373</v>
      </c>
    </row>
    <row r="383" spans="3:17">
      <c r="C383" s="159"/>
      <c r="D383" s="165" t="s">
        <v>281</v>
      </c>
      <c r="E383" s="162">
        <v>32301</v>
      </c>
      <c r="F383" s="166" t="str">
        <f t="shared" si="16"/>
        <v>Date check - OK</v>
      </c>
      <c r="G383" s="68"/>
      <c r="H383" s="162" t="s">
        <v>293</v>
      </c>
      <c r="I383" s="173">
        <v>20414.77563211487</v>
      </c>
      <c r="J383" s="168">
        <f>IFERROR(MIN('MP Calculations'!$E$30/I383,1),"-")</f>
        <v>0.40513348981719682</v>
      </c>
      <c r="K383" s="12"/>
      <c r="L383" s="159">
        <v>44.561433999999998</v>
      </c>
      <c r="M383" s="187" t="s">
        <v>294</v>
      </c>
      <c r="N383" s="187">
        <v>192.78728599999999</v>
      </c>
      <c r="O383" s="186">
        <f t="shared" si="17"/>
        <v>8590.8779211281235</v>
      </c>
      <c r="P383" s="186">
        <f t="shared" si="18"/>
        <v>3480.4523527801416</v>
      </c>
      <c r="Q383" s="215">
        <f>IF(P383="-",0,P383/(1+'General inputs'!$H$30)^'MP Calculations'!$C$40)</f>
        <v>7731.0905456413093</v>
      </c>
    </row>
    <row r="384" spans="3:17">
      <c r="C384" s="159"/>
      <c r="D384" s="165" t="s">
        <v>281</v>
      </c>
      <c r="E384" s="162">
        <v>32301</v>
      </c>
      <c r="F384" s="166" t="str">
        <f t="shared" si="16"/>
        <v>Date check - OK</v>
      </c>
      <c r="G384" s="68"/>
      <c r="H384" s="162" t="s">
        <v>293</v>
      </c>
      <c r="I384" s="173">
        <v>20414.77563211487</v>
      </c>
      <c r="J384" s="168">
        <f>IFERROR(MIN('MP Calculations'!$E$30/I384,1),"-")</f>
        <v>0.40513348981719682</v>
      </c>
      <c r="K384" s="12"/>
      <c r="L384" s="159">
        <v>52.794947000000001</v>
      </c>
      <c r="M384" s="187" t="s">
        <v>294</v>
      </c>
      <c r="N384" s="187">
        <v>192.78728599999999</v>
      </c>
      <c r="O384" s="186">
        <f t="shared" si="17"/>
        <v>10178.194546643841</v>
      </c>
      <c r="P384" s="186">
        <f t="shared" si="18"/>
        <v>4123.5274767201809</v>
      </c>
      <c r="Q384" s="215">
        <f>IF(P384="-",0,P384/(1+'General inputs'!$H$30)^'MP Calculations'!$C$40)</f>
        <v>9159.5462482049825</v>
      </c>
    </row>
    <row r="385" spans="3:17">
      <c r="C385" s="159"/>
      <c r="D385" s="165" t="s">
        <v>281</v>
      </c>
      <c r="E385" s="162">
        <v>32301</v>
      </c>
      <c r="F385" s="166" t="str">
        <f t="shared" si="16"/>
        <v>Date check - OK</v>
      </c>
      <c r="G385" s="68"/>
      <c r="H385" s="162" t="s">
        <v>293</v>
      </c>
      <c r="I385" s="173">
        <v>20414.77563211487</v>
      </c>
      <c r="J385" s="168">
        <f>IFERROR(MIN('MP Calculations'!$E$30/I385,1),"-")</f>
        <v>0.40513348981719682</v>
      </c>
      <c r="K385" s="12"/>
      <c r="L385" s="159">
        <v>90.661443000000006</v>
      </c>
      <c r="M385" s="187" t="s">
        <v>294</v>
      </c>
      <c r="N385" s="187">
        <v>192.78728599999999</v>
      </c>
      <c r="O385" s="186">
        <f t="shared" si="17"/>
        <v>17478.3735408137</v>
      </c>
      <c r="P385" s="186">
        <f t="shared" si="18"/>
        <v>7081.0744689184094</v>
      </c>
      <c r="Q385" s="215">
        <f>IF(P385="-",0,P385/(1+'General inputs'!$H$30)^'MP Calculations'!$C$40)</f>
        <v>15729.112865431991</v>
      </c>
    </row>
    <row r="386" spans="3:17">
      <c r="C386" s="159"/>
      <c r="D386" s="165" t="s">
        <v>281</v>
      </c>
      <c r="E386" s="162">
        <v>32301</v>
      </c>
      <c r="F386" s="166" t="str">
        <f t="shared" si="16"/>
        <v>Date check - OK</v>
      </c>
      <c r="G386" s="68"/>
      <c r="H386" s="162" t="s">
        <v>293</v>
      </c>
      <c r="I386" s="173">
        <v>20414.77563211487</v>
      </c>
      <c r="J386" s="168">
        <f>IFERROR(MIN('MP Calculations'!$E$30/I386,1),"-")</f>
        <v>0.40513348981719682</v>
      </c>
      <c r="K386" s="12"/>
      <c r="L386" s="159">
        <v>29.203963000000002</v>
      </c>
      <c r="M386" s="187" t="s">
        <v>294</v>
      </c>
      <c r="N386" s="187">
        <v>192.78728599999999</v>
      </c>
      <c r="O386" s="186">
        <f t="shared" si="17"/>
        <v>5630.1527672144184</v>
      </c>
      <c r="P386" s="186">
        <f t="shared" si="18"/>
        <v>2280.9634387855249</v>
      </c>
      <c r="Q386" s="215">
        <f>IF(P386="-",0,P386/(1+'General inputs'!$H$30)^'MP Calculations'!$C$40)</f>
        <v>5066.6790086817809</v>
      </c>
    </row>
    <row r="387" spans="3:17">
      <c r="C387" s="159"/>
      <c r="D387" s="165" t="s">
        <v>281</v>
      </c>
      <c r="E387" s="162">
        <v>32301</v>
      </c>
      <c r="F387" s="166" t="str">
        <f t="shared" si="16"/>
        <v>Date check - OK</v>
      </c>
      <c r="G387" s="68"/>
      <c r="H387" s="162" t="s">
        <v>293</v>
      </c>
      <c r="I387" s="173">
        <v>20414.77563211487</v>
      </c>
      <c r="J387" s="168">
        <f>IFERROR(MIN('MP Calculations'!$E$30/I387,1),"-")</f>
        <v>0.40513348981719682</v>
      </c>
      <c r="K387" s="12"/>
      <c r="L387" s="159">
        <v>61.252772</v>
      </c>
      <c r="M387" s="187" t="s">
        <v>294</v>
      </c>
      <c r="N387" s="187">
        <v>192.78728599999999</v>
      </c>
      <c r="O387" s="186">
        <f t="shared" si="17"/>
        <v>11808.755673856791</v>
      </c>
      <c r="P387" s="186">
        <f t="shared" si="18"/>
        <v>4784.1223965482259</v>
      </c>
      <c r="Q387" s="215">
        <f>IF(P387="-",0,P387/(1+'General inputs'!$H$30)^'MP Calculations'!$C$40)</f>
        <v>10626.918480754517</v>
      </c>
    </row>
    <row r="388" spans="3:17">
      <c r="C388" s="159"/>
      <c r="D388" s="165" t="s">
        <v>282</v>
      </c>
      <c r="E388" s="162">
        <v>32355</v>
      </c>
      <c r="F388" s="166" t="str">
        <f t="shared" si="16"/>
        <v>Date check - OK</v>
      </c>
      <c r="G388" s="68"/>
      <c r="H388" s="162" t="s">
        <v>293</v>
      </c>
      <c r="I388" s="173">
        <v>20414.77563211487</v>
      </c>
      <c r="J388" s="168">
        <f>IFERROR(MIN('MP Calculations'!$E$30/I388,1),"-")</f>
        <v>0.40513348981719682</v>
      </c>
      <c r="K388" s="12"/>
      <c r="L388" s="159">
        <v>31.630873999999999</v>
      </c>
      <c r="M388" s="187" t="s">
        <v>294</v>
      </c>
      <c r="N388" s="187">
        <v>237.97403299999999</v>
      </c>
      <c r="O388" s="186">
        <f t="shared" si="17"/>
        <v>7527.3266530948413</v>
      </c>
      <c r="P388" s="186">
        <f t="shared" si="18"/>
        <v>3049.5721159623131</v>
      </c>
      <c r="Q388" s="215">
        <f>IF(P388="-",0,P388/(1+'General inputs'!$H$30)^'MP Calculations'!$C$40)</f>
        <v>6773.9810128804011</v>
      </c>
    </row>
    <row r="389" spans="3:17">
      <c r="C389" s="159"/>
      <c r="D389" s="165" t="s">
        <v>281</v>
      </c>
      <c r="E389" s="162">
        <v>32396</v>
      </c>
      <c r="F389" s="166" t="str">
        <f t="shared" si="16"/>
        <v>Date check - OK</v>
      </c>
      <c r="G389" s="68"/>
      <c r="H389" s="162" t="s">
        <v>293</v>
      </c>
      <c r="I389" s="173">
        <v>20414.77563211487</v>
      </c>
      <c r="J389" s="168">
        <f>IFERROR(MIN('MP Calculations'!$E$30/I389,1),"-")</f>
        <v>0.40513348981719682</v>
      </c>
      <c r="K389" s="12"/>
      <c r="L389" s="159">
        <v>138.52452</v>
      </c>
      <c r="M389" s="187" t="s">
        <v>294</v>
      </c>
      <c r="N389" s="187">
        <v>192.78728599999999</v>
      </c>
      <c r="O389" s="186">
        <f t="shared" si="17"/>
        <v>26705.766255252718</v>
      </c>
      <c r="P389" s="186">
        <f t="shared" si="18"/>
        <v>10819.400281232865</v>
      </c>
      <c r="Q389" s="215">
        <f>IF(P389="-",0,P389/(1+'General inputs'!$H$30)^'MP Calculations'!$C$40)</f>
        <v>24033.014891565213</v>
      </c>
    </row>
    <row r="390" spans="3:17">
      <c r="C390" s="159"/>
      <c r="D390" s="165" t="s">
        <v>281</v>
      </c>
      <c r="E390" s="162">
        <v>32396</v>
      </c>
      <c r="F390" s="166" t="str">
        <f t="shared" si="16"/>
        <v>Date check - OK</v>
      </c>
      <c r="G390" s="68"/>
      <c r="H390" s="162" t="s">
        <v>293</v>
      </c>
      <c r="I390" s="173">
        <v>20414.77563211487</v>
      </c>
      <c r="J390" s="168">
        <f>IFERROR(MIN('MP Calculations'!$E$30/I390,1),"-")</f>
        <v>0.40513348981719682</v>
      </c>
      <c r="K390" s="12"/>
      <c r="L390" s="159">
        <v>33.256715</v>
      </c>
      <c r="M390" s="187" t="s">
        <v>294</v>
      </c>
      <c r="N390" s="187">
        <v>192.78728599999999</v>
      </c>
      <c r="O390" s="186">
        <f t="shared" si="17"/>
        <v>6411.4718261254902</v>
      </c>
      <c r="P390" s="186">
        <f t="shared" si="18"/>
        <v>2597.5019557828555</v>
      </c>
      <c r="Q390" s="215">
        <f>IF(P390="-",0,P390/(1+'General inputs'!$H$30)^'MP Calculations'!$C$40)</f>
        <v>5769.8025363274328</v>
      </c>
    </row>
    <row r="391" spans="3:17">
      <c r="C391" s="159"/>
      <c r="D391" s="165" t="s">
        <v>281</v>
      </c>
      <c r="E391" s="162">
        <v>32415</v>
      </c>
      <c r="F391" s="166" t="str">
        <f t="shared" si="16"/>
        <v>Date check - OK</v>
      </c>
      <c r="G391" s="68"/>
      <c r="H391" s="162" t="s">
        <v>293</v>
      </c>
      <c r="I391" s="173">
        <v>20414.77563211487</v>
      </c>
      <c r="J391" s="168">
        <f>IFERROR(MIN('MP Calculations'!$E$30/I391,1),"-")</f>
        <v>0.40513348981719682</v>
      </c>
      <c r="K391" s="12"/>
      <c r="L391" s="159">
        <v>72.457682000000005</v>
      </c>
      <c r="M391" s="187" t="s">
        <v>294</v>
      </c>
      <c r="N391" s="187">
        <v>192.78728599999999</v>
      </c>
      <c r="O391" s="186">
        <f t="shared" si="17"/>
        <v>13968.919862631054</v>
      </c>
      <c r="P391" s="186">
        <f t="shared" si="18"/>
        <v>5659.2772529244767</v>
      </c>
      <c r="Q391" s="215">
        <f>IF(P391="-",0,P391/(1+'General inputs'!$H$30)^'MP Calculations'!$C$40)</f>
        <v>12570.890341394412</v>
      </c>
    </row>
    <row r="392" spans="3:17">
      <c r="C392" s="159"/>
      <c r="D392" s="165" t="s">
        <v>281</v>
      </c>
      <c r="E392" s="162">
        <v>32415</v>
      </c>
      <c r="F392" s="166" t="str">
        <f t="shared" si="16"/>
        <v>Date check - OK</v>
      </c>
      <c r="G392" s="68"/>
      <c r="H392" s="162" t="s">
        <v>293</v>
      </c>
      <c r="I392" s="173">
        <v>20414.77563211487</v>
      </c>
      <c r="J392" s="168">
        <f>IFERROR(MIN('MP Calculations'!$E$30/I392,1),"-")</f>
        <v>0.40513348981719682</v>
      </c>
      <c r="K392" s="12"/>
      <c r="L392" s="159">
        <v>0.10074900000000001</v>
      </c>
      <c r="M392" s="187" t="s">
        <v>294</v>
      </c>
      <c r="N392" s="187">
        <v>192.78728599999999</v>
      </c>
      <c r="O392" s="186">
        <f t="shared" si="17"/>
        <v>19.423126277213999</v>
      </c>
      <c r="P392" s="186">
        <f t="shared" si="18"/>
        <v>7.8689589318478061</v>
      </c>
      <c r="Q392" s="215">
        <f>IF(P392="-",0,P392/(1+'General inputs'!$H$30)^'MP Calculations'!$C$40)</f>
        <v>17.479231960596607</v>
      </c>
    </row>
    <row r="393" spans="3:17">
      <c r="C393" s="159"/>
      <c r="D393" s="165" t="s">
        <v>281</v>
      </c>
      <c r="E393" s="162">
        <v>32415</v>
      </c>
      <c r="F393" s="166" t="str">
        <f t="shared" si="16"/>
        <v>Date check - OK</v>
      </c>
      <c r="G393" s="68"/>
      <c r="H393" s="162" t="s">
        <v>293</v>
      </c>
      <c r="I393" s="173">
        <v>20414.77563211487</v>
      </c>
      <c r="J393" s="168">
        <f>IFERROR(MIN('MP Calculations'!$E$30/I393,1),"-")</f>
        <v>0.40513348981719682</v>
      </c>
      <c r="K393" s="12"/>
      <c r="L393" s="159">
        <v>8.1980149999999998</v>
      </c>
      <c r="M393" s="187" t="s">
        <v>294</v>
      </c>
      <c r="N393" s="187">
        <v>192.78728599999999</v>
      </c>
      <c r="O393" s="186">
        <f t="shared" si="17"/>
        <v>1580.4730624372899</v>
      </c>
      <c r="P393" s="186">
        <f t="shared" si="18"/>
        <v>640.30256734729164</v>
      </c>
      <c r="Q393" s="215">
        <f>IF(P393="-",0,P393/(1+'General inputs'!$H$30)^'MP Calculations'!$C$40)</f>
        <v>1422.2970530868829</v>
      </c>
    </row>
    <row r="394" spans="3:17">
      <c r="C394" s="159"/>
      <c r="D394" s="165" t="s">
        <v>281</v>
      </c>
      <c r="E394" s="162">
        <v>32415</v>
      </c>
      <c r="F394" s="166" t="str">
        <f t="shared" si="16"/>
        <v>Date check - OK</v>
      </c>
      <c r="G394" s="68"/>
      <c r="H394" s="162" t="s">
        <v>293</v>
      </c>
      <c r="I394" s="173">
        <v>20414.77563211487</v>
      </c>
      <c r="J394" s="168">
        <f>IFERROR(MIN('MP Calculations'!$E$30/I394,1),"-")</f>
        <v>0.40513348981719682</v>
      </c>
      <c r="K394" s="12"/>
      <c r="L394" s="159">
        <v>1.5010829999999999</v>
      </c>
      <c r="M394" s="187" t="s">
        <v>294</v>
      </c>
      <c r="N394" s="187">
        <v>192.78728599999999</v>
      </c>
      <c r="O394" s="186">
        <f t="shared" si="17"/>
        <v>289.38971763073801</v>
      </c>
      <c r="P394" s="186">
        <f t="shared" si="18"/>
        <v>117.24146622095407</v>
      </c>
      <c r="Q394" s="215">
        <f>IF(P394="-",0,P394/(1+'General inputs'!$H$30)^'MP Calculations'!$C$40)</f>
        <v>260.42717991353004</v>
      </c>
    </row>
    <row r="395" spans="3:17">
      <c r="C395" s="159"/>
      <c r="D395" s="165" t="s">
        <v>281</v>
      </c>
      <c r="E395" s="162">
        <v>32415</v>
      </c>
      <c r="F395" s="166" t="str">
        <f t="shared" si="16"/>
        <v>Date check - OK</v>
      </c>
      <c r="G395" s="68"/>
      <c r="H395" s="162" t="s">
        <v>293</v>
      </c>
      <c r="I395" s="173">
        <v>20414.77563211487</v>
      </c>
      <c r="J395" s="168">
        <f>IFERROR(MIN('MP Calculations'!$E$30/I395,1),"-")</f>
        <v>0.40513348981719682</v>
      </c>
      <c r="K395" s="12"/>
      <c r="L395" s="159">
        <v>55.587860999999997</v>
      </c>
      <c r="M395" s="187" t="s">
        <v>294</v>
      </c>
      <c r="N395" s="187">
        <v>192.78728599999999</v>
      </c>
      <c r="O395" s="186">
        <f t="shared" si="17"/>
        <v>10716.632856735245</v>
      </c>
      <c r="P395" s="186">
        <f t="shared" si="18"/>
        <v>4341.6668683387852</v>
      </c>
      <c r="Q395" s="215">
        <f>IF(P395="-",0,P395/(1+'General inputs'!$H$30)^'MP Calculations'!$C$40)</f>
        <v>9644.0968804891509</v>
      </c>
    </row>
    <row r="396" spans="3:17">
      <c r="C396" s="159"/>
      <c r="D396" s="165" t="s">
        <v>291</v>
      </c>
      <c r="E396" s="162">
        <v>32509</v>
      </c>
      <c r="F396" s="166" t="str">
        <f t="shared" si="16"/>
        <v>Date check - OK</v>
      </c>
      <c r="G396" s="68"/>
      <c r="H396" s="162" t="s">
        <v>293</v>
      </c>
      <c r="I396" s="173">
        <v>20414.77563211487</v>
      </c>
      <c r="J396" s="168">
        <f>IFERROR(MIN('MP Calculations'!$E$30/I396,1),"-")</f>
        <v>0.40513348981719682</v>
      </c>
      <c r="K396" s="12"/>
      <c r="L396" s="159">
        <v>202.191318</v>
      </c>
      <c r="M396" s="187" t="s">
        <v>294</v>
      </c>
      <c r="N396" s="187">
        <v>297.51652200000001</v>
      </c>
      <c r="O396" s="186">
        <f t="shared" si="17"/>
        <v>60155.257709955993</v>
      </c>
      <c r="P396" s="186">
        <f t="shared" si="18"/>
        <v>24370.909486887307</v>
      </c>
      <c r="Q396" s="215">
        <f>IF(P396="-",0,P396/(1+'General inputs'!$H$30)^'MP Calculations'!$C$40)</f>
        <v>54134.833298968173</v>
      </c>
    </row>
    <row r="397" spans="3:17">
      <c r="C397" s="159"/>
      <c r="D397" s="165" t="s">
        <v>291</v>
      </c>
      <c r="E397" s="162">
        <v>32509</v>
      </c>
      <c r="F397" s="166" t="str">
        <f t="shared" si="16"/>
        <v>Date check - OK</v>
      </c>
      <c r="G397" s="68"/>
      <c r="H397" s="162" t="s">
        <v>293</v>
      </c>
      <c r="I397" s="173">
        <v>20414.77563211487</v>
      </c>
      <c r="J397" s="168">
        <f>IFERROR(MIN('MP Calculations'!$E$30/I397,1),"-")</f>
        <v>0.40513348981719682</v>
      </c>
      <c r="K397" s="12"/>
      <c r="L397" s="159">
        <v>335.23454900000002</v>
      </c>
      <c r="M397" s="187" t="s">
        <v>294</v>
      </c>
      <c r="N397" s="187">
        <v>297.51652200000001</v>
      </c>
      <c r="O397" s="186">
        <f t="shared" si="17"/>
        <v>99737.817072718579</v>
      </c>
      <c r="P397" s="186">
        <f t="shared" si="18"/>
        <v>40407.129897419669</v>
      </c>
      <c r="Q397" s="215">
        <f>IF(P397="-",0,P397/(1+'General inputs'!$H$30)^'MP Calculations'!$C$40)</f>
        <v>89755.913387783439</v>
      </c>
    </row>
    <row r="398" spans="3:17">
      <c r="C398" s="159"/>
      <c r="D398" s="165" t="s">
        <v>281</v>
      </c>
      <c r="E398" s="162">
        <v>32509</v>
      </c>
      <c r="F398" s="166" t="str">
        <f t="shared" si="16"/>
        <v>Date check - OK</v>
      </c>
      <c r="G398" s="68"/>
      <c r="H398" s="162" t="s">
        <v>293</v>
      </c>
      <c r="I398" s="173">
        <v>20414.77563211487</v>
      </c>
      <c r="J398" s="168">
        <f>IFERROR(MIN('MP Calculations'!$E$30/I398,1),"-")</f>
        <v>0.40513348981719682</v>
      </c>
      <c r="K398" s="12"/>
      <c r="L398" s="159">
        <v>2.262861</v>
      </c>
      <c r="M398" s="187" t="s">
        <v>294</v>
      </c>
      <c r="N398" s="187">
        <v>192.78728599999999</v>
      </c>
      <c r="O398" s="186">
        <f t="shared" si="17"/>
        <v>436.25083078524597</v>
      </c>
      <c r="P398" s="186">
        <f t="shared" si="18"/>
        <v>176.73982151167809</v>
      </c>
      <c r="Q398" s="215">
        <f>IF(P398="-",0,P398/(1+'General inputs'!$H$30)^'MP Calculations'!$C$40)</f>
        <v>392.59022237032218</v>
      </c>
    </row>
    <row r="399" spans="3:17">
      <c r="C399" s="159"/>
      <c r="D399" s="165" t="s">
        <v>281</v>
      </c>
      <c r="E399" s="162">
        <v>32509</v>
      </c>
      <c r="F399" s="166" t="str">
        <f t="shared" si="16"/>
        <v>Date check - OK</v>
      </c>
      <c r="G399" s="68"/>
      <c r="H399" s="162" t="s">
        <v>293</v>
      </c>
      <c r="I399" s="173">
        <v>20414.77563211487</v>
      </c>
      <c r="J399" s="168">
        <f>IFERROR(MIN('MP Calculations'!$E$30/I399,1),"-")</f>
        <v>0.40513348981719682</v>
      </c>
      <c r="K399" s="12"/>
      <c r="L399" s="159">
        <v>1.2504599999999999</v>
      </c>
      <c r="M399" s="187" t="s">
        <v>294</v>
      </c>
      <c r="N399" s="187">
        <v>192.78728599999999</v>
      </c>
      <c r="O399" s="186">
        <f t="shared" si="17"/>
        <v>241.07278965155999</v>
      </c>
      <c r="P399" s="186">
        <f t="shared" si="18"/>
        <v>97.666660571503513</v>
      </c>
      <c r="Q399" s="215">
        <f>IF(P399="-",0,P399/(1+'General inputs'!$H$30)^'MP Calculations'!$C$40)</f>
        <v>216.94587933823297</v>
      </c>
    </row>
    <row r="400" spans="3:17">
      <c r="C400" s="159"/>
      <c r="D400" s="165" t="s">
        <v>281</v>
      </c>
      <c r="E400" s="162">
        <v>32553</v>
      </c>
      <c r="F400" s="166" t="str">
        <f t="shared" si="16"/>
        <v>Date check - OK</v>
      </c>
      <c r="G400" s="68"/>
      <c r="H400" s="162" t="s">
        <v>293</v>
      </c>
      <c r="I400" s="173">
        <v>20414.77563211487</v>
      </c>
      <c r="J400" s="168">
        <f>IFERROR(MIN('MP Calculations'!$E$30/I400,1),"-")</f>
        <v>0.40513348981719682</v>
      </c>
      <c r="K400" s="12"/>
      <c r="L400" s="159">
        <v>5.5404859999999996</v>
      </c>
      <c r="M400" s="187" t="s">
        <v>294</v>
      </c>
      <c r="N400" s="187">
        <v>192.78728599999999</v>
      </c>
      <c r="O400" s="186">
        <f t="shared" si="17"/>
        <v>1068.1352590609958</v>
      </c>
      <c r="P400" s="186">
        <f t="shared" si="18"/>
        <v>432.73736510017687</v>
      </c>
      <c r="Q400" s="215">
        <f>IF(P400="-",0,P400/(1+'General inputs'!$H$30)^'MP Calculations'!$C$40)</f>
        <v>961.23475139642119</v>
      </c>
    </row>
    <row r="401" spans="3:17">
      <c r="C401" s="159"/>
      <c r="D401" s="165" t="s">
        <v>281</v>
      </c>
      <c r="E401" s="162">
        <v>32553</v>
      </c>
      <c r="F401" s="166" t="str">
        <f t="shared" si="16"/>
        <v>Date check - OK</v>
      </c>
      <c r="G401" s="68"/>
      <c r="H401" s="162" t="s">
        <v>293</v>
      </c>
      <c r="I401" s="173">
        <v>20414.77563211487</v>
      </c>
      <c r="J401" s="168">
        <f>IFERROR(MIN('MP Calculations'!$E$30/I401,1),"-")</f>
        <v>0.40513348981719682</v>
      </c>
      <c r="K401" s="12"/>
      <c r="L401" s="159">
        <v>36.447387999999997</v>
      </c>
      <c r="M401" s="187" t="s">
        <v>294</v>
      </c>
      <c r="N401" s="187">
        <v>192.78728599999999</v>
      </c>
      <c r="O401" s="186">
        <f t="shared" si="17"/>
        <v>7026.5930143089672</v>
      </c>
      <c r="P401" s="186">
        <f t="shared" si="18"/>
        <v>2846.7081494121285</v>
      </c>
      <c r="Q401" s="215">
        <f>IF(P401="-",0,P401/(1+'General inputs'!$H$30)^'MP Calculations'!$C$40)</f>
        <v>6323.3615143561246</v>
      </c>
    </row>
    <row r="402" spans="3:17">
      <c r="C402" s="159"/>
      <c r="D402" s="165" t="s">
        <v>281</v>
      </c>
      <c r="E402" s="162">
        <v>32553</v>
      </c>
      <c r="F402" s="166" t="str">
        <f t="shared" si="16"/>
        <v>Date check - OK</v>
      </c>
      <c r="G402" s="68"/>
      <c r="H402" s="162" t="s">
        <v>293</v>
      </c>
      <c r="I402" s="173">
        <v>20414.77563211487</v>
      </c>
      <c r="J402" s="168">
        <f>IFERROR(MIN('MP Calculations'!$E$30/I402,1),"-")</f>
        <v>0.40513348981719682</v>
      </c>
      <c r="K402" s="12"/>
      <c r="L402" s="159">
        <v>3.8019210000000001</v>
      </c>
      <c r="M402" s="187" t="s">
        <v>294</v>
      </c>
      <c r="N402" s="187">
        <v>192.78728599999999</v>
      </c>
      <c r="O402" s="186">
        <f t="shared" si="17"/>
        <v>732.96203117640596</v>
      </c>
      <c r="P402" s="186">
        <f t="shared" si="18"/>
        <v>296.94746559399834</v>
      </c>
      <c r="Q402" s="215">
        <f>IF(P402="-",0,P402/(1+'General inputs'!$H$30)^'MP Calculations'!$C$40)</f>
        <v>659.60614055587052</v>
      </c>
    </row>
    <row r="403" spans="3:17">
      <c r="C403" s="159"/>
      <c r="D403" s="165" t="s">
        <v>281</v>
      </c>
      <c r="E403" s="162">
        <v>32962</v>
      </c>
      <c r="F403" s="166" t="str">
        <f t="shared" si="16"/>
        <v>Date check - OK</v>
      </c>
      <c r="G403" s="68"/>
      <c r="H403" s="162" t="s">
        <v>293</v>
      </c>
      <c r="I403" s="173">
        <v>20414.77563211487</v>
      </c>
      <c r="J403" s="168">
        <f>IFERROR(MIN('MP Calculations'!$E$30/I403,1),"-")</f>
        <v>0.40513348981719682</v>
      </c>
      <c r="K403" s="12"/>
      <c r="L403" s="159">
        <v>26.511329</v>
      </c>
      <c r="M403" s="187" t="s">
        <v>294</v>
      </c>
      <c r="N403" s="187">
        <v>192.78728599999999</v>
      </c>
      <c r="O403" s="186">
        <f t="shared" si="17"/>
        <v>5111.0471661630936</v>
      </c>
      <c r="P403" s="186">
        <f t="shared" si="18"/>
        <v>2070.6563750479486</v>
      </c>
      <c r="Q403" s="215">
        <f>IF(P403="-",0,P403/(1+'General inputs'!$H$30)^'MP Calculations'!$C$40)</f>
        <v>4599.5262402077606</v>
      </c>
    </row>
    <row r="404" spans="3:17">
      <c r="C404" s="159"/>
      <c r="D404" s="165" t="s">
        <v>281</v>
      </c>
      <c r="E404" s="162">
        <v>32962</v>
      </c>
      <c r="F404" s="166" t="str">
        <f t="shared" si="16"/>
        <v>Date check - OK</v>
      </c>
      <c r="G404" s="68"/>
      <c r="H404" s="162" t="s">
        <v>293</v>
      </c>
      <c r="I404" s="173">
        <v>20414.77563211487</v>
      </c>
      <c r="J404" s="168">
        <f>IFERROR(MIN('MP Calculations'!$E$30/I404,1),"-")</f>
        <v>0.40513348981719682</v>
      </c>
      <c r="K404" s="12"/>
      <c r="L404" s="159">
        <v>18.396398000000001</v>
      </c>
      <c r="M404" s="187" t="s">
        <v>294</v>
      </c>
      <c r="N404" s="187">
        <v>192.78728599999999</v>
      </c>
      <c r="O404" s="186">
        <f t="shared" si="17"/>
        <v>3546.591642595828</v>
      </c>
      <c r="P404" s="186">
        <f t="shared" si="18"/>
        <v>1436.8430491213524</v>
      </c>
      <c r="Q404" s="215">
        <f>IF(P404="-",0,P404/(1+'General inputs'!$H$30)^'MP Calculations'!$C$40)</f>
        <v>3191.6436677431589</v>
      </c>
    </row>
    <row r="405" spans="3:17">
      <c r="C405" s="159"/>
      <c r="D405" s="165" t="s">
        <v>292</v>
      </c>
      <c r="E405" s="162">
        <v>33419</v>
      </c>
      <c r="F405" s="166" t="str">
        <f t="shared" si="16"/>
        <v>Date check - OK</v>
      </c>
      <c r="G405" s="68"/>
      <c r="H405" s="162" t="s">
        <v>293</v>
      </c>
      <c r="I405" s="173">
        <v>20414.77563211487</v>
      </c>
      <c r="J405" s="168">
        <f>IFERROR(MIN('MP Calculations'!$E$30/I405,1),"-")</f>
        <v>0.40513348981719682</v>
      </c>
      <c r="K405" s="12"/>
      <c r="L405" s="159">
        <v>1</v>
      </c>
      <c r="M405" s="187" t="s">
        <v>295</v>
      </c>
      <c r="N405" s="187">
        <v>274755.99</v>
      </c>
      <c r="O405" s="186">
        <f t="shared" si="17"/>
        <v>274755.99</v>
      </c>
      <c r="P405" s="186">
        <f t="shared" si="18"/>
        <v>111312.85307687883</v>
      </c>
      <c r="Q405" s="215">
        <f>IF(P405="-",0,P405/(1+'General inputs'!$H$30)^'MP Calculations'!$C$40)</f>
        <v>247258.016718317</v>
      </c>
    </row>
    <row r="406" spans="3:17">
      <c r="C406" s="159"/>
      <c r="D406" s="165" t="s">
        <v>281</v>
      </c>
      <c r="E406" s="162">
        <v>34077</v>
      </c>
      <c r="F406" s="166" t="str">
        <f t="shared" si="16"/>
        <v>Date check - OK</v>
      </c>
      <c r="G406" s="68"/>
      <c r="H406" s="162" t="s">
        <v>293</v>
      </c>
      <c r="I406" s="173">
        <v>20414.77563211487</v>
      </c>
      <c r="J406" s="168">
        <f>IFERROR(MIN('MP Calculations'!$E$30/I406,1),"-")</f>
        <v>0.40513348981719682</v>
      </c>
      <c r="K406" s="12"/>
      <c r="L406" s="159">
        <v>133.57459700000001</v>
      </c>
      <c r="M406" s="187" t="s">
        <v>294</v>
      </c>
      <c r="N406" s="187">
        <v>192.78728599999999</v>
      </c>
      <c r="O406" s="186">
        <f t="shared" si="17"/>
        <v>25751.484034173744</v>
      </c>
      <c r="P406" s="186">
        <f t="shared" si="18"/>
        <v>10432.788594736636</v>
      </c>
      <c r="Q406" s="215">
        <f>IF(P406="-",0,P406/(1+'General inputs'!$H$30)^'MP Calculations'!$C$40)</f>
        <v>23174.238602926202</v>
      </c>
    </row>
    <row r="407" spans="3:17">
      <c r="C407" s="159"/>
      <c r="D407" s="165" t="s">
        <v>281</v>
      </c>
      <c r="E407" s="162">
        <v>34077</v>
      </c>
      <c r="F407" s="166" t="str">
        <f t="shared" ref="F407:F470" si="19">IF(E407="","-",IF(OR(E407&lt;$E$15,E407&gt;$E$16),"ERROR - date outside of range","Date check - OK"))</f>
        <v>Date check - OK</v>
      </c>
      <c r="G407" s="68"/>
      <c r="H407" s="162" t="s">
        <v>293</v>
      </c>
      <c r="I407" s="173">
        <v>20414.77563211487</v>
      </c>
      <c r="J407" s="168">
        <f>IFERROR(MIN('MP Calculations'!$E$30/I407,1),"-")</f>
        <v>0.40513348981719682</v>
      </c>
      <c r="K407" s="12"/>
      <c r="L407" s="159">
        <v>138.901332</v>
      </c>
      <c r="M407" s="187" t="s">
        <v>294</v>
      </c>
      <c r="N407" s="187">
        <v>192.78728599999999</v>
      </c>
      <c r="O407" s="186">
        <f t="shared" ref="O407:O470" si="20">IF(N407="","-",L407*N407)</f>
        <v>26778.410818064949</v>
      </c>
      <c r="P407" s="186">
        <f t="shared" ref="P407:P470" si="21">IF(O407="-","-",IF(OR(E407&lt;$E$15,E407&gt;$E$16),0,O407*J407))</f>
        <v>10848.83102648123</v>
      </c>
      <c r="Q407" s="215">
        <f>IF(P407="-",0,P407/(1+'General inputs'!$H$30)^'MP Calculations'!$C$40)</f>
        <v>24098.38908241114</v>
      </c>
    </row>
    <row r="408" spans="3:17">
      <c r="C408" s="159"/>
      <c r="D408" s="165" t="s">
        <v>281</v>
      </c>
      <c r="E408" s="162">
        <v>34077</v>
      </c>
      <c r="F408" s="166" t="str">
        <f t="shared" si="19"/>
        <v>Date check - OK</v>
      </c>
      <c r="G408" s="68"/>
      <c r="H408" s="162" t="s">
        <v>293</v>
      </c>
      <c r="I408" s="173">
        <v>20414.77563211487</v>
      </c>
      <c r="J408" s="168">
        <f>IFERROR(MIN('MP Calculations'!$E$30/I408,1),"-")</f>
        <v>0.40513348981719682</v>
      </c>
      <c r="K408" s="12"/>
      <c r="L408" s="159">
        <v>142.97117299999999</v>
      </c>
      <c r="M408" s="187" t="s">
        <v>294</v>
      </c>
      <c r="N408" s="187">
        <v>192.78728599999999</v>
      </c>
      <c r="O408" s="186">
        <f t="shared" si="20"/>
        <v>27563.024418906476</v>
      </c>
      <c r="P408" s="186">
        <f t="shared" si="21"/>
        <v>11166.704272748195</v>
      </c>
      <c r="Q408" s="215">
        <f>IF(P408="-",0,P408/(1+'General inputs'!$H$30)^'MP Calculations'!$C$40)</f>
        <v>24804.477429508846</v>
      </c>
    </row>
    <row r="409" spans="3:17">
      <c r="C409" s="159"/>
      <c r="D409" s="165" t="s">
        <v>281</v>
      </c>
      <c r="E409" s="162">
        <v>34077</v>
      </c>
      <c r="F409" s="166" t="str">
        <f t="shared" si="19"/>
        <v>Date check - OK</v>
      </c>
      <c r="G409" s="68"/>
      <c r="H409" s="162" t="s">
        <v>293</v>
      </c>
      <c r="I409" s="173">
        <v>20414.77563211487</v>
      </c>
      <c r="J409" s="168">
        <f>IFERROR(MIN('MP Calculations'!$E$30/I409,1),"-")</f>
        <v>0.40513348981719682</v>
      </c>
      <c r="K409" s="12"/>
      <c r="L409" s="159">
        <v>172.45855</v>
      </c>
      <c r="M409" s="187" t="s">
        <v>294</v>
      </c>
      <c r="N409" s="187">
        <v>192.78728599999999</v>
      </c>
      <c r="O409" s="186">
        <f t="shared" si="20"/>
        <v>33247.815801995297</v>
      </c>
      <c r="P409" s="186">
        <f t="shared" si="21"/>
        <v>13469.803644661697</v>
      </c>
      <c r="Q409" s="215">
        <f>IF(P409="-",0,P409/(1+'General inputs'!$H$30)^'MP Calculations'!$C$40)</f>
        <v>29920.326743075839</v>
      </c>
    </row>
    <row r="410" spans="3:17">
      <c r="C410" s="159"/>
      <c r="D410" s="165" t="s">
        <v>281</v>
      </c>
      <c r="E410" s="162">
        <v>34077</v>
      </c>
      <c r="F410" s="166" t="str">
        <f t="shared" si="19"/>
        <v>Date check - OK</v>
      </c>
      <c r="G410" s="68"/>
      <c r="H410" s="162" t="s">
        <v>293</v>
      </c>
      <c r="I410" s="173">
        <v>20414.77563211487</v>
      </c>
      <c r="J410" s="168">
        <f>IFERROR(MIN('MP Calculations'!$E$30/I410,1),"-")</f>
        <v>0.40513348981719682</v>
      </c>
      <c r="K410" s="12"/>
      <c r="L410" s="159">
        <v>174.94847300000001</v>
      </c>
      <c r="M410" s="187" t="s">
        <v>294</v>
      </c>
      <c r="N410" s="187">
        <v>192.78728599999999</v>
      </c>
      <c r="O410" s="186">
        <f t="shared" si="20"/>
        <v>33727.841299514279</v>
      </c>
      <c r="P410" s="186">
        <f t="shared" si="21"/>
        <v>13664.278049672799</v>
      </c>
      <c r="Q410" s="215">
        <f>IF(P410="-",0,P410/(1+'General inputs'!$H$30)^'MP Calculations'!$C$40)</f>
        <v>30352.310600791796</v>
      </c>
    </row>
    <row r="411" spans="3:17">
      <c r="C411" s="159"/>
      <c r="D411" s="165" t="s">
        <v>281</v>
      </c>
      <c r="E411" s="162">
        <v>34077</v>
      </c>
      <c r="F411" s="166" t="str">
        <f t="shared" si="19"/>
        <v>Date check - OK</v>
      </c>
      <c r="G411" s="68"/>
      <c r="H411" s="162" t="s">
        <v>293</v>
      </c>
      <c r="I411" s="173">
        <v>20414.77563211487</v>
      </c>
      <c r="J411" s="168">
        <f>IFERROR(MIN('MP Calculations'!$E$30/I411,1),"-")</f>
        <v>0.40513348981719682</v>
      </c>
      <c r="K411" s="12"/>
      <c r="L411" s="159">
        <v>138.68307300000001</v>
      </c>
      <c r="M411" s="187" t="s">
        <v>294</v>
      </c>
      <c r="N411" s="187">
        <v>192.78728599999999</v>
      </c>
      <c r="O411" s="186">
        <f t="shared" si="20"/>
        <v>26736.333257809878</v>
      </c>
      <c r="P411" s="186">
        <f t="shared" si="21"/>
        <v>10831.783997652099</v>
      </c>
      <c r="Q411" s="215">
        <f>IF(P411="-",0,P411/(1+'General inputs'!$H$30)^'MP Calculations'!$C$40)</f>
        <v>24060.522704695355</v>
      </c>
    </row>
    <row r="412" spans="3:17">
      <c r="C412" s="159"/>
      <c r="D412" s="165" t="s">
        <v>281</v>
      </c>
      <c r="E412" s="162">
        <v>34077</v>
      </c>
      <c r="F412" s="166" t="str">
        <f t="shared" si="19"/>
        <v>Date check - OK</v>
      </c>
      <c r="G412" s="68"/>
      <c r="H412" s="162" t="s">
        <v>293</v>
      </c>
      <c r="I412" s="173">
        <v>20414.77563211487</v>
      </c>
      <c r="J412" s="168">
        <f>IFERROR(MIN('MP Calculations'!$E$30/I412,1),"-")</f>
        <v>0.40513348981719682</v>
      </c>
      <c r="K412" s="12"/>
      <c r="L412" s="159">
        <v>13.997033</v>
      </c>
      <c r="M412" s="187" t="s">
        <v>294</v>
      </c>
      <c r="N412" s="187">
        <v>192.78728599999999</v>
      </c>
      <c r="O412" s="186">
        <f t="shared" si="20"/>
        <v>2698.4500041224378</v>
      </c>
      <c r="P412" s="186">
        <f t="shared" si="21"/>
        <v>1093.2324672673524</v>
      </c>
      <c r="Q412" s="215">
        <f>IF(P412="-",0,P412/(1+'General inputs'!$H$30)^'MP Calculations'!$C$40)</f>
        <v>2428.3852600733048</v>
      </c>
    </row>
    <row r="413" spans="3:17">
      <c r="C413" s="159"/>
      <c r="D413" s="165" t="s">
        <v>281</v>
      </c>
      <c r="E413" s="162">
        <v>34077</v>
      </c>
      <c r="F413" s="166" t="str">
        <f t="shared" si="19"/>
        <v>Date check - OK</v>
      </c>
      <c r="G413" s="68"/>
      <c r="H413" s="162" t="s">
        <v>293</v>
      </c>
      <c r="I413" s="173">
        <v>20414.77563211487</v>
      </c>
      <c r="J413" s="168">
        <f>IFERROR(MIN('MP Calculations'!$E$30/I413,1),"-")</f>
        <v>0.40513348981719682</v>
      </c>
      <c r="K413" s="12"/>
      <c r="L413" s="159">
        <v>59.688468</v>
      </c>
      <c r="M413" s="187" t="s">
        <v>294</v>
      </c>
      <c r="N413" s="187">
        <v>192.78728599999999</v>
      </c>
      <c r="O413" s="186">
        <f t="shared" si="20"/>
        <v>11507.177751217847</v>
      </c>
      <c r="P413" s="186">
        <f t="shared" si="21"/>
        <v>4661.9430802976894</v>
      </c>
      <c r="Q413" s="215">
        <f>IF(P413="-",0,P413/(1+'General inputs'!$H$30)^'MP Calculations'!$C$40)</f>
        <v>10355.522908859122</v>
      </c>
    </row>
    <row r="414" spans="3:17">
      <c r="C414" s="159"/>
      <c r="D414" s="165" t="s">
        <v>281</v>
      </c>
      <c r="E414" s="162">
        <v>34077</v>
      </c>
      <c r="F414" s="166" t="str">
        <f t="shared" si="19"/>
        <v>Date check - OK</v>
      </c>
      <c r="G414" s="68"/>
      <c r="H414" s="162" t="s">
        <v>293</v>
      </c>
      <c r="I414" s="173">
        <v>20414.77563211487</v>
      </c>
      <c r="J414" s="168">
        <f>IFERROR(MIN('MP Calculations'!$E$30/I414,1),"-")</f>
        <v>0.40513348981719682</v>
      </c>
      <c r="K414" s="12"/>
      <c r="L414" s="159">
        <v>0.57142400000000004</v>
      </c>
      <c r="M414" s="187" t="s">
        <v>294</v>
      </c>
      <c r="N414" s="187">
        <v>192.78728599999999</v>
      </c>
      <c r="O414" s="186">
        <f t="shared" si="20"/>
        <v>110.16328211526401</v>
      </c>
      <c r="P414" s="186">
        <f t="shared" si="21"/>
        <v>44.630834933073295</v>
      </c>
      <c r="Q414" s="215">
        <f>IF(P414="-",0,P414/(1+'General inputs'!$H$30)^'MP Calculations'!$C$40)</f>
        <v>99.137982946252137</v>
      </c>
    </row>
    <row r="415" spans="3:17">
      <c r="C415" s="159"/>
      <c r="D415" s="165" t="s">
        <v>281</v>
      </c>
      <c r="E415" s="162">
        <v>34077</v>
      </c>
      <c r="F415" s="166" t="str">
        <f t="shared" si="19"/>
        <v>Date check - OK</v>
      </c>
      <c r="G415" s="68"/>
      <c r="H415" s="162" t="s">
        <v>293</v>
      </c>
      <c r="I415" s="173">
        <v>20414.77563211487</v>
      </c>
      <c r="J415" s="168">
        <f>IFERROR(MIN('MP Calculations'!$E$30/I415,1),"-")</f>
        <v>0.40513348981719682</v>
      </c>
      <c r="K415" s="12"/>
      <c r="L415" s="159">
        <v>1.9001920000000001</v>
      </c>
      <c r="M415" s="187" t="s">
        <v>294</v>
      </c>
      <c r="N415" s="187">
        <v>192.78728599999999</v>
      </c>
      <c r="O415" s="186">
        <f t="shared" si="20"/>
        <v>366.33285855891199</v>
      </c>
      <c r="P415" s="186">
        <f t="shared" si="21"/>
        <v>148.41370942268156</v>
      </c>
      <c r="Q415" s="215">
        <f>IF(P415="-",0,P415/(1+'General inputs'!$H$30)^'MP Calculations'!$C$40)</f>
        <v>329.66974101648634</v>
      </c>
    </row>
    <row r="416" spans="3:17">
      <c r="C416" s="159"/>
      <c r="D416" s="165" t="s">
        <v>281</v>
      </c>
      <c r="E416" s="162">
        <v>34077</v>
      </c>
      <c r="F416" s="166" t="str">
        <f t="shared" si="19"/>
        <v>Date check - OK</v>
      </c>
      <c r="G416" s="68"/>
      <c r="H416" s="162" t="s">
        <v>293</v>
      </c>
      <c r="I416" s="173">
        <v>20414.77563211487</v>
      </c>
      <c r="J416" s="168">
        <f>IFERROR(MIN('MP Calculations'!$E$30/I416,1),"-")</f>
        <v>0.40513348981719682</v>
      </c>
      <c r="K416" s="12"/>
      <c r="L416" s="159">
        <v>18.022787000000001</v>
      </c>
      <c r="M416" s="187" t="s">
        <v>294</v>
      </c>
      <c r="N416" s="187">
        <v>192.78728599999999</v>
      </c>
      <c r="O416" s="186">
        <f t="shared" si="20"/>
        <v>3474.564191886082</v>
      </c>
      <c r="P416" s="186">
        <f t="shared" si="21"/>
        <v>1407.6623166526767</v>
      </c>
      <c r="Q416" s="215">
        <f>IF(P416="-",0,P416/(1+'General inputs'!$H$30)^'MP Calculations'!$C$40)</f>
        <v>3126.8248275360056</v>
      </c>
    </row>
    <row r="417" spans="3:17">
      <c r="C417" s="159"/>
      <c r="D417" s="165" t="s">
        <v>281</v>
      </c>
      <c r="E417" s="162">
        <v>34077</v>
      </c>
      <c r="F417" s="166" t="str">
        <f t="shared" si="19"/>
        <v>Date check - OK</v>
      </c>
      <c r="G417" s="68"/>
      <c r="H417" s="162" t="s">
        <v>293</v>
      </c>
      <c r="I417" s="173">
        <v>20414.77563211487</v>
      </c>
      <c r="J417" s="168">
        <f>IFERROR(MIN('MP Calculations'!$E$30/I417,1),"-")</f>
        <v>0.40513348981719682</v>
      </c>
      <c r="K417" s="12"/>
      <c r="L417" s="159">
        <v>0.30010700000000001</v>
      </c>
      <c r="M417" s="187" t="s">
        <v>294</v>
      </c>
      <c r="N417" s="187">
        <v>192.78728599999999</v>
      </c>
      <c r="O417" s="186">
        <f t="shared" si="20"/>
        <v>57.856814039602</v>
      </c>
      <c r="P417" s="186">
        <f t="shared" si="21"/>
        <v>23.439732981568547</v>
      </c>
      <c r="Q417" s="215">
        <f>IF(P417="-",0,P417/(1+'General inputs'!$H$30)^'MP Calculations'!$C$40)</f>
        <v>52.066421165458372</v>
      </c>
    </row>
    <row r="418" spans="3:17">
      <c r="C418" s="159"/>
      <c r="D418" s="165" t="s">
        <v>281</v>
      </c>
      <c r="E418" s="162">
        <v>34144</v>
      </c>
      <c r="F418" s="166" t="str">
        <f t="shared" si="19"/>
        <v>Date check - OK</v>
      </c>
      <c r="G418" s="68"/>
      <c r="H418" s="162" t="s">
        <v>293</v>
      </c>
      <c r="I418" s="173">
        <v>20414.77563211487</v>
      </c>
      <c r="J418" s="168">
        <f>IFERROR(MIN('MP Calculations'!$E$30/I418,1),"-")</f>
        <v>0.40513348981719682</v>
      </c>
      <c r="K418" s="12"/>
      <c r="L418" s="159">
        <v>72.185260999999997</v>
      </c>
      <c r="M418" s="187" t="s">
        <v>294</v>
      </c>
      <c r="N418" s="187">
        <v>192.78728599999999</v>
      </c>
      <c r="O418" s="186">
        <f t="shared" si="20"/>
        <v>13916.400557391646</v>
      </c>
      <c r="P418" s="186">
        <f t="shared" si="21"/>
        <v>5637.9999235100604</v>
      </c>
      <c r="Q418" s="215">
        <f>IF(P418="-",0,P418/(1+'General inputs'!$H$30)^'MP Calculations'!$C$40)</f>
        <v>12523.627243498275</v>
      </c>
    </row>
    <row r="419" spans="3:17">
      <c r="C419" s="159"/>
      <c r="D419" s="165" t="s">
        <v>281</v>
      </c>
      <c r="E419" s="162">
        <v>34144</v>
      </c>
      <c r="F419" s="166" t="str">
        <f t="shared" si="19"/>
        <v>Date check - OK</v>
      </c>
      <c r="G419" s="68"/>
      <c r="H419" s="162" t="s">
        <v>293</v>
      </c>
      <c r="I419" s="173">
        <v>20414.77563211487</v>
      </c>
      <c r="J419" s="168">
        <f>IFERROR(MIN('MP Calculations'!$E$30/I419,1),"-")</f>
        <v>0.40513348981719682</v>
      </c>
      <c r="K419" s="12"/>
      <c r="L419" s="159">
        <v>72.184847000000005</v>
      </c>
      <c r="M419" s="187" t="s">
        <v>294</v>
      </c>
      <c r="N419" s="187">
        <v>192.78728599999999</v>
      </c>
      <c r="O419" s="186">
        <f t="shared" si="20"/>
        <v>13916.320743455242</v>
      </c>
      <c r="P419" s="186">
        <f t="shared" si="21"/>
        <v>5637.9675882114698</v>
      </c>
      <c r="Q419" s="215">
        <f>IF(P419="-",0,P419/(1+'General inputs'!$H$30)^'MP Calculations'!$C$40)</f>
        <v>12523.555417455023</v>
      </c>
    </row>
    <row r="420" spans="3:17">
      <c r="C420" s="159"/>
      <c r="D420" s="165" t="s">
        <v>281</v>
      </c>
      <c r="E420" s="162">
        <v>34144</v>
      </c>
      <c r="F420" s="166" t="str">
        <f t="shared" si="19"/>
        <v>Date check - OK</v>
      </c>
      <c r="G420" s="68"/>
      <c r="H420" s="162" t="s">
        <v>293</v>
      </c>
      <c r="I420" s="173">
        <v>20414.77563211487</v>
      </c>
      <c r="J420" s="168">
        <f>IFERROR(MIN('MP Calculations'!$E$30/I420,1),"-")</f>
        <v>0.40513348981719682</v>
      </c>
      <c r="K420" s="12"/>
      <c r="L420" s="159">
        <v>66.285364000000001</v>
      </c>
      <c r="M420" s="187" t="s">
        <v>294</v>
      </c>
      <c r="N420" s="187">
        <v>192.78728599999999</v>
      </c>
      <c r="O420" s="186">
        <f t="shared" si="20"/>
        <v>12778.975427082103</v>
      </c>
      <c r="P420" s="186">
        <f t="shared" si="21"/>
        <v>5177.1909110619754</v>
      </c>
      <c r="Q420" s="215">
        <f>IF(P420="-",0,P420/(1+'General inputs'!$H$30)^'MP Calculations'!$C$40)</f>
        <v>11500.037250479703</v>
      </c>
    </row>
    <row r="421" spans="3:17">
      <c r="C421" s="159"/>
      <c r="D421" s="165" t="s">
        <v>281</v>
      </c>
      <c r="E421" s="162">
        <v>34144</v>
      </c>
      <c r="F421" s="166" t="str">
        <f t="shared" si="19"/>
        <v>Date check - OK</v>
      </c>
      <c r="G421" s="68"/>
      <c r="H421" s="162" t="s">
        <v>293</v>
      </c>
      <c r="I421" s="173">
        <v>20414.77563211487</v>
      </c>
      <c r="J421" s="168">
        <f>IFERROR(MIN('MP Calculations'!$E$30/I421,1),"-")</f>
        <v>0.40513348981719682</v>
      </c>
      <c r="K421" s="12"/>
      <c r="L421" s="159">
        <v>61.024704</v>
      </c>
      <c r="M421" s="187" t="s">
        <v>294</v>
      </c>
      <c r="N421" s="187">
        <v>192.78728599999999</v>
      </c>
      <c r="O421" s="186">
        <f t="shared" si="20"/>
        <v>11764.787063113343</v>
      </c>
      <c r="P421" s="186">
        <f t="shared" si="21"/>
        <v>4766.3092398353183</v>
      </c>
      <c r="Q421" s="215">
        <f>IF(P421="-",0,P421/(1+'General inputs'!$H$30)^'MP Calculations'!$C$40)</f>
        <v>10587.350311593638</v>
      </c>
    </row>
    <row r="422" spans="3:17">
      <c r="C422" s="159"/>
      <c r="D422" s="165" t="s">
        <v>281</v>
      </c>
      <c r="E422" s="162">
        <v>34144</v>
      </c>
      <c r="F422" s="166" t="str">
        <f t="shared" si="19"/>
        <v>Date check - OK</v>
      </c>
      <c r="G422" s="68"/>
      <c r="H422" s="162" t="s">
        <v>293</v>
      </c>
      <c r="I422" s="173">
        <v>20414.77563211487</v>
      </c>
      <c r="J422" s="168">
        <f>IFERROR(MIN('MP Calculations'!$E$30/I422,1),"-")</f>
        <v>0.40513348981719682</v>
      </c>
      <c r="K422" s="12"/>
      <c r="L422" s="159">
        <v>0.50019599999999997</v>
      </c>
      <c r="M422" s="187" t="s">
        <v>294</v>
      </c>
      <c r="N422" s="187">
        <v>192.78728599999999</v>
      </c>
      <c r="O422" s="186">
        <f t="shared" si="20"/>
        <v>96.431429308055996</v>
      </c>
      <c r="P422" s="186">
        <f t="shared" si="21"/>
        <v>39.067601483633041</v>
      </c>
      <c r="Q422" s="215">
        <f>IF(P422="-",0,P422/(1+'General inputs'!$H$30)^'MP Calculations'!$C$40)</f>
        <v>86.780433649590364</v>
      </c>
    </row>
    <row r="423" spans="3:17">
      <c r="C423" s="159"/>
      <c r="D423" s="165" t="s">
        <v>281</v>
      </c>
      <c r="E423" s="162">
        <v>34144</v>
      </c>
      <c r="F423" s="166" t="str">
        <f t="shared" si="19"/>
        <v>Date check - OK</v>
      </c>
      <c r="G423" s="68"/>
      <c r="H423" s="162" t="s">
        <v>293</v>
      </c>
      <c r="I423" s="173">
        <v>20414.77563211487</v>
      </c>
      <c r="J423" s="168">
        <f>IFERROR(MIN('MP Calculations'!$E$30/I423,1),"-")</f>
        <v>0.40513348981719682</v>
      </c>
      <c r="K423" s="12"/>
      <c r="L423" s="159">
        <v>49.741467999999998</v>
      </c>
      <c r="M423" s="187" t="s">
        <v>294</v>
      </c>
      <c r="N423" s="187">
        <v>192.78728599999999</v>
      </c>
      <c r="O423" s="186">
        <f t="shared" si="20"/>
        <v>9589.5226173758474</v>
      </c>
      <c r="P423" s="186">
        <f t="shared" si="21"/>
        <v>3885.0367636584165</v>
      </c>
      <c r="Q423" s="215">
        <f>IF(P423="-",0,P423/(1+'General inputs'!$H$30)^'MP Calculations'!$C$40)</f>
        <v>8629.789449350299</v>
      </c>
    </row>
    <row r="424" spans="3:17">
      <c r="C424" s="159"/>
      <c r="D424" s="165" t="s">
        <v>281</v>
      </c>
      <c r="E424" s="162">
        <v>34144</v>
      </c>
      <c r="F424" s="166" t="str">
        <f t="shared" si="19"/>
        <v>Date check - OK</v>
      </c>
      <c r="G424" s="68"/>
      <c r="H424" s="162" t="s">
        <v>293</v>
      </c>
      <c r="I424" s="173">
        <v>20414.77563211487</v>
      </c>
      <c r="J424" s="168">
        <f>IFERROR(MIN('MP Calculations'!$E$30/I424,1),"-")</f>
        <v>0.40513348981719682</v>
      </c>
      <c r="K424" s="12"/>
      <c r="L424" s="159">
        <v>0.399982</v>
      </c>
      <c r="M424" s="187" t="s">
        <v>294</v>
      </c>
      <c r="N424" s="187">
        <v>192.78728599999999</v>
      </c>
      <c r="O424" s="186">
        <f t="shared" si="20"/>
        <v>77.111444228851994</v>
      </c>
      <c r="P424" s="186">
        <f t="shared" si="21"/>
        <v>31.240428505278949</v>
      </c>
      <c r="Q424" s="215">
        <f>IF(P424="-",0,P424/(1+'General inputs'!$H$30)^'MP Calculations'!$C$40)</f>
        <v>69.39402036807661</v>
      </c>
    </row>
    <row r="425" spans="3:17">
      <c r="C425" s="159"/>
      <c r="D425" s="165" t="s">
        <v>281</v>
      </c>
      <c r="E425" s="162">
        <v>34144</v>
      </c>
      <c r="F425" s="166" t="str">
        <f t="shared" si="19"/>
        <v>Date check - OK</v>
      </c>
      <c r="G425" s="68"/>
      <c r="H425" s="162" t="s">
        <v>293</v>
      </c>
      <c r="I425" s="173">
        <v>20414.77563211487</v>
      </c>
      <c r="J425" s="168">
        <f>IFERROR(MIN('MP Calculations'!$E$30/I425,1),"-")</f>
        <v>0.40513348981719682</v>
      </c>
      <c r="K425" s="12"/>
      <c r="L425" s="159">
        <v>28.370208999999999</v>
      </c>
      <c r="M425" s="187" t="s">
        <v>294</v>
      </c>
      <c r="N425" s="187">
        <v>192.78728599999999</v>
      </c>
      <c r="O425" s="186">
        <f t="shared" si="20"/>
        <v>5469.4155963627736</v>
      </c>
      <c r="P425" s="186">
        <f t="shared" si="21"/>
        <v>2215.8434278150553</v>
      </c>
      <c r="Q425" s="215">
        <f>IF(P425="-",0,P425/(1+'General inputs'!$H$30)^'MP Calculations'!$C$40)</f>
        <v>4922.0286442704692</v>
      </c>
    </row>
    <row r="426" spans="3:17">
      <c r="C426" s="159"/>
      <c r="D426" s="165" t="s">
        <v>281</v>
      </c>
      <c r="E426" s="162">
        <v>34144</v>
      </c>
      <c r="F426" s="166" t="str">
        <f t="shared" si="19"/>
        <v>Date check - OK</v>
      </c>
      <c r="G426" s="68"/>
      <c r="H426" s="162" t="s">
        <v>293</v>
      </c>
      <c r="I426" s="173">
        <v>20414.77563211487</v>
      </c>
      <c r="J426" s="168">
        <f>IFERROR(MIN('MP Calculations'!$E$30/I426,1),"-")</f>
        <v>0.40513348981719682</v>
      </c>
      <c r="K426" s="12"/>
      <c r="L426" s="159">
        <v>66.186053000000001</v>
      </c>
      <c r="M426" s="187" t="s">
        <v>294</v>
      </c>
      <c r="N426" s="187">
        <v>192.78728599999999</v>
      </c>
      <c r="O426" s="186">
        <f t="shared" si="20"/>
        <v>12759.829528922159</v>
      </c>
      <c r="P426" s="186">
        <f t="shared" si="21"/>
        <v>5169.4342665247532</v>
      </c>
      <c r="Q426" s="215">
        <f>IF(P426="-",0,P426/(1+'General inputs'!$H$30)^'MP Calculations'!$C$40)</f>
        <v>11482.807501249055</v>
      </c>
    </row>
    <row r="427" spans="3:17">
      <c r="C427" s="159"/>
      <c r="D427" s="165" t="s">
        <v>281</v>
      </c>
      <c r="E427" s="162">
        <v>34144</v>
      </c>
      <c r="F427" s="166" t="str">
        <f t="shared" si="19"/>
        <v>Date check - OK</v>
      </c>
      <c r="G427" s="68"/>
      <c r="H427" s="162" t="s">
        <v>293</v>
      </c>
      <c r="I427" s="173">
        <v>20414.77563211487</v>
      </c>
      <c r="J427" s="168">
        <f>IFERROR(MIN('MP Calculations'!$E$30/I427,1),"-")</f>
        <v>0.40513348981719682</v>
      </c>
      <c r="K427" s="12"/>
      <c r="L427" s="159">
        <v>60.187930999999999</v>
      </c>
      <c r="M427" s="187" t="s">
        <v>294</v>
      </c>
      <c r="N427" s="187">
        <v>192.78728599999999</v>
      </c>
      <c r="O427" s="186">
        <f t="shared" si="20"/>
        <v>11603.467867445266</v>
      </c>
      <c r="P427" s="186">
        <f t="shared" si="21"/>
        <v>4700.9534311198076</v>
      </c>
      <c r="Q427" s="215">
        <f>IF(P427="-",0,P427/(1+'General inputs'!$H$30)^'MP Calculations'!$C$40)</f>
        <v>10442.176172243728</v>
      </c>
    </row>
    <row r="428" spans="3:17">
      <c r="C428" s="159"/>
      <c r="D428" s="165" t="s">
        <v>281</v>
      </c>
      <c r="E428" s="162">
        <v>34144</v>
      </c>
      <c r="F428" s="166" t="str">
        <f t="shared" si="19"/>
        <v>Date check - OK</v>
      </c>
      <c r="G428" s="68"/>
      <c r="H428" s="162" t="s">
        <v>293</v>
      </c>
      <c r="I428" s="173">
        <v>20414.77563211487</v>
      </c>
      <c r="J428" s="168">
        <f>IFERROR(MIN('MP Calculations'!$E$30/I428,1),"-")</f>
        <v>0.40513348981719682</v>
      </c>
      <c r="K428" s="12"/>
      <c r="L428" s="159">
        <v>0.45468799999999998</v>
      </c>
      <c r="M428" s="187" t="s">
        <v>294</v>
      </c>
      <c r="N428" s="187">
        <v>192.78728599999999</v>
      </c>
      <c r="O428" s="186">
        <f t="shared" si="20"/>
        <v>87.658065496767989</v>
      </c>
      <c r="P428" s="186">
        <f t="shared" si="21"/>
        <v>35.513217985330023</v>
      </c>
      <c r="Q428" s="215">
        <f>IF(P428="-",0,P428/(1+'General inputs'!$H$30)^'MP Calculations'!$C$40)</f>
        <v>78.885120663229884</v>
      </c>
    </row>
    <row r="429" spans="3:17">
      <c r="C429" s="159"/>
      <c r="D429" s="165" t="s">
        <v>281</v>
      </c>
      <c r="E429" s="162">
        <v>34144</v>
      </c>
      <c r="F429" s="166" t="str">
        <f t="shared" si="19"/>
        <v>Date check - OK</v>
      </c>
      <c r="G429" s="68"/>
      <c r="H429" s="162" t="s">
        <v>293</v>
      </c>
      <c r="I429" s="173">
        <v>20414.77563211487</v>
      </c>
      <c r="J429" s="168">
        <f>IFERROR(MIN('MP Calculations'!$E$30/I429,1),"-")</f>
        <v>0.40513348981719682</v>
      </c>
      <c r="K429" s="12"/>
      <c r="L429" s="159">
        <v>5.0992290000000002</v>
      </c>
      <c r="M429" s="187" t="s">
        <v>294</v>
      </c>
      <c r="N429" s="187">
        <v>192.78728599999999</v>
      </c>
      <c r="O429" s="186">
        <f t="shared" si="20"/>
        <v>983.06651960249405</v>
      </c>
      <c r="P429" s="186">
        <f t="shared" si="21"/>
        <v>398.27316980900417</v>
      </c>
      <c r="Q429" s="215">
        <f>IF(P429="-",0,P429/(1+'General inputs'!$H$30)^'MP Calculations'!$C$40)</f>
        <v>884.6798133103166</v>
      </c>
    </row>
    <row r="430" spans="3:17">
      <c r="C430" s="159"/>
      <c r="D430" s="165" t="s">
        <v>281</v>
      </c>
      <c r="E430" s="162">
        <v>34144</v>
      </c>
      <c r="F430" s="166" t="str">
        <f t="shared" si="19"/>
        <v>Date check - OK</v>
      </c>
      <c r="G430" s="68"/>
      <c r="H430" s="162" t="s">
        <v>293</v>
      </c>
      <c r="I430" s="173">
        <v>20414.77563211487</v>
      </c>
      <c r="J430" s="168">
        <f>IFERROR(MIN('MP Calculations'!$E$30/I430,1),"-")</f>
        <v>0.40513348981719682</v>
      </c>
      <c r="K430" s="12"/>
      <c r="L430" s="159">
        <v>23.416307</v>
      </c>
      <c r="M430" s="187" t="s">
        <v>294</v>
      </c>
      <c r="N430" s="187">
        <v>192.78728599999999</v>
      </c>
      <c r="O430" s="186">
        <f t="shared" si="20"/>
        <v>4514.3662746728014</v>
      </c>
      <c r="P430" s="186">
        <f t="shared" si="21"/>
        <v>1828.9209631712502</v>
      </c>
      <c r="Q430" s="215">
        <f>IF(P430="-",0,P430/(1+'General inputs'!$H$30)^'MP Calculations'!$C$40)</f>
        <v>4062.5620275490774</v>
      </c>
    </row>
    <row r="431" spans="3:17">
      <c r="C431" s="159"/>
      <c r="D431" s="165" t="s">
        <v>281</v>
      </c>
      <c r="E431" s="162">
        <v>34144</v>
      </c>
      <c r="F431" s="166" t="str">
        <f t="shared" si="19"/>
        <v>Date check - OK</v>
      </c>
      <c r="G431" s="68"/>
      <c r="H431" s="162" t="s">
        <v>293</v>
      </c>
      <c r="I431" s="173">
        <v>20414.77563211487</v>
      </c>
      <c r="J431" s="168">
        <f>IFERROR(MIN('MP Calculations'!$E$30/I431,1),"-")</f>
        <v>0.40513348981719682</v>
      </c>
      <c r="K431" s="12"/>
      <c r="L431" s="159">
        <v>102.14169800000001</v>
      </c>
      <c r="M431" s="187" t="s">
        <v>294</v>
      </c>
      <c r="N431" s="187">
        <v>192.78728599999999</v>
      </c>
      <c r="O431" s="186">
        <f t="shared" si="20"/>
        <v>19691.620744851629</v>
      </c>
      <c r="P431" s="186">
        <f t="shared" si="21"/>
        <v>7977.7350325184489</v>
      </c>
      <c r="Q431" s="215">
        <f>IF(P431="-",0,P431/(1+'General inputs'!$H$30)^'MP Calculations'!$C$40)</f>
        <v>17720.855117085099</v>
      </c>
    </row>
    <row r="432" spans="3:17">
      <c r="C432" s="159"/>
      <c r="D432" s="165" t="s">
        <v>281</v>
      </c>
      <c r="E432" s="162">
        <v>34144</v>
      </c>
      <c r="F432" s="166" t="str">
        <f t="shared" si="19"/>
        <v>Date check - OK</v>
      </c>
      <c r="G432" s="68"/>
      <c r="H432" s="162" t="s">
        <v>293</v>
      </c>
      <c r="I432" s="173">
        <v>20414.77563211487</v>
      </c>
      <c r="J432" s="168">
        <f>IFERROR(MIN('MP Calculations'!$E$30/I432,1),"-")</f>
        <v>0.40513348981719682</v>
      </c>
      <c r="K432" s="12"/>
      <c r="L432" s="159">
        <v>0.37643100000000002</v>
      </c>
      <c r="M432" s="187" t="s">
        <v>294</v>
      </c>
      <c r="N432" s="187">
        <v>192.78728599999999</v>
      </c>
      <c r="O432" s="186">
        <f t="shared" si="20"/>
        <v>72.571110856266003</v>
      </c>
      <c r="P432" s="186">
        <f t="shared" si="21"/>
        <v>29.400987401109706</v>
      </c>
      <c r="Q432" s="215">
        <f>IF(P432="-",0,P432/(1+'General inputs'!$H$30)^'MP Calculations'!$C$40)</f>
        <v>65.308090066991653</v>
      </c>
    </row>
    <row r="433" spans="3:17">
      <c r="C433" s="159"/>
      <c r="D433" s="165" t="s">
        <v>281</v>
      </c>
      <c r="E433" s="162">
        <v>34144</v>
      </c>
      <c r="F433" s="166" t="str">
        <f t="shared" si="19"/>
        <v>Date check - OK</v>
      </c>
      <c r="G433" s="68"/>
      <c r="H433" s="162" t="s">
        <v>293</v>
      </c>
      <c r="I433" s="173">
        <v>20414.77563211487</v>
      </c>
      <c r="J433" s="168">
        <f>IFERROR(MIN('MP Calculations'!$E$30/I433,1),"-")</f>
        <v>0.40513348981719682</v>
      </c>
      <c r="K433" s="12"/>
      <c r="L433" s="159">
        <v>5.9976779999999996</v>
      </c>
      <c r="M433" s="187" t="s">
        <v>294</v>
      </c>
      <c r="N433" s="187">
        <v>192.78728599999999</v>
      </c>
      <c r="O433" s="186">
        <f t="shared" si="20"/>
        <v>1156.276063921908</v>
      </c>
      <c r="P433" s="186">
        <f t="shared" si="21"/>
        <v>468.44615696877474</v>
      </c>
      <c r="Q433" s="215">
        <f>IF(P433="-",0,P433/(1+'General inputs'!$H$30)^'MP Calculations'!$C$40)</f>
        <v>1040.5542981763306</v>
      </c>
    </row>
    <row r="434" spans="3:17">
      <c r="C434" s="159"/>
      <c r="D434" s="165" t="s">
        <v>281</v>
      </c>
      <c r="E434" s="162">
        <v>34144</v>
      </c>
      <c r="F434" s="166" t="str">
        <f t="shared" si="19"/>
        <v>Date check - OK</v>
      </c>
      <c r="G434" s="68"/>
      <c r="H434" s="162" t="s">
        <v>293</v>
      </c>
      <c r="I434" s="173">
        <v>20414.77563211487</v>
      </c>
      <c r="J434" s="168">
        <f>IFERROR(MIN('MP Calculations'!$E$30/I434,1),"-")</f>
        <v>0.40513348981719682</v>
      </c>
      <c r="K434" s="12"/>
      <c r="L434" s="159">
        <v>38.156458000000001</v>
      </c>
      <c r="M434" s="187" t="s">
        <v>294</v>
      </c>
      <c r="N434" s="187">
        <v>192.78728599999999</v>
      </c>
      <c r="O434" s="186">
        <f t="shared" si="20"/>
        <v>7356.0799811929883</v>
      </c>
      <c r="P434" s="186">
        <f t="shared" si="21"/>
        <v>2980.194354155135</v>
      </c>
      <c r="Q434" s="215">
        <f>IF(P434="-",0,P434/(1+'General inputs'!$H$30)^'MP Calculations'!$C$40)</f>
        <v>6619.8729533470514</v>
      </c>
    </row>
    <row r="435" spans="3:17">
      <c r="C435" s="159"/>
      <c r="D435" s="165" t="s">
        <v>281</v>
      </c>
      <c r="E435" s="162">
        <v>34144</v>
      </c>
      <c r="F435" s="166" t="str">
        <f t="shared" si="19"/>
        <v>Date check - OK</v>
      </c>
      <c r="G435" s="68"/>
      <c r="H435" s="162" t="s">
        <v>293</v>
      </c>
      <c r="I435" s="173">
        <v>20414.77563211487</v>
      </c>
      <c r="J435" s="168">
        <f>IFERROR(MIN('MP Calculations'!$E$30/I435,1),"-")</f>
        <v>0.40513348981719682</v>
      </c>
      <c r="K435" s="12"/>
      <c r="L435" s="159">
        <v>33.693412000000002</v>
      </c>
      <c r="M435" s="187" t="s">
        <v>294</v>
      </c>
      <c r="N435" s="187">
        <v>192.78728599999999</v>
      </c>
      <c r="O435" s="186">
        <f t="shared" si="20"/>
        <v>6495.6614555598326</v>
      </c>
      <c r="P435" s="186">
        <f t="shared" si="21"/>
        <v>2631.6099941620073</v>
      </c>
      <c r="Q435" s="215">
        <f>IF(P435="-",0,P435/(1+'General inputs'!$H$30)^'MP Calculations'!$C$40)</f>
        <v>5845.5663469806077</v>
      </c>
    </row>
    <row r="436" spans="3:17">
      <c r="C436" s="159"/>
      <c r="D436" s="165" t="s">
        <v>281</v>
      </c>
      <c r="E436" s="162">
        <v>34144</v>
      </c>
      <c r="F436" s="166" t="str">
        <f t="shared" si="19"/>
        <v>Date check - OK</v>
      </c>
      <c r="G436" s="68"/>
      <c r="H436" s="162" t="s">
        <v>293</v>
      </c>
      <c r="I436" s="173">
        <v>20414.77563211487</v>
      </c>
      <c r="J436" s="168">
        <f>IFERROR(MIN('MP Calculations'!$E$30/I436,1),"-")</f>
        <v>0.40513348981719682</v>
      </c>
      <c r="K436" s="12"/>
      <c r="L436" s="159">
        <v>24.056009</v>
      </c>
      <c r="M436" s="187" t="s">
        <v>294</v>
      </c>
      <c r="N436" s="187">
        <v>192.78728599999999</v>
      </c>
      <c r="O436" s="186">
        <f t="shared" si="20"/>
        <v>4637.6926871015739</v>
      </c>
      <c r="P436" s="186">
        <f t="shared" si="21"/>
        <v>1878.8846230251536</v>
      </c>
      <c r="Q436" s="215">
        <f>IF(P436="-",0,P436/(1+'General inputs'!$H$30)^'MP Calculations'!$C$40)</f>
        <v>4173.5457558606004</v>
      </c>
    </row>
    <row r="437" spans="3:17">
      <c r="C437" s="159"/>
      <c r="D437" s="165" t="s">
        <v>281</v>
      </c>
      <c r="E437" s="162">
        <v>34144</v>
      </c>
      <c r="F437" s="166" t="str">
        <f t="shared" si="19"/>
        <v>Date check - OK</v>
      </c>
      <c r="G437" s="68"/>
      <c r="H437" s="162" t="s">
        <v>293</v>
      </c>
      <c r="I437" s="173">
        <v>20414.77563211487</v>
      </c>
      <c r="J437" s="168">
        <f>IFERROR(MIN('MP Calculations'!$E$30/I437,1),"-")</f>
        <v>0.40513348981719682</v>
      </c>
      <c r="K437" s="12"/>
      <c r="L437" s="159">
        <v>37.492297000000001</v>
      </c>
      <c r="M437" s="187" t="s">
        <v>294</v>
      </c>
      <c r="N437" s="187">
        <v>192.78728599999999</v>
      </c>
      <c r="O437" s="186">
        <f t="shared" si="20"/>
        <v>7228.0381845359416</v>
      </c>
      <c r="P437" s="186">
        <f t="shared" si="21"/>
        <v>2928.3203342330016</v>
      </c>
      <c r="Q437" s="215">
        <f>IF(P437="-",0,P437/(1+'General inputs'!$H$30)^'MP Calculations'!$C$40)</f>
        <v>6504.6457632192896</v>
      </c>
    </row>
    <row r="438" spans="3:17">
      <c r="C438" s="159"/>
      <c r="D438" s="165" t="s">
        <v>281</v>
      </c>
      <c r="E438" s="162">
        <v>34144</v>
      </c>
      <c r="F438" s="166" t="str">
        <f t="shared" si="19"/>
        <v>Date check - OK</v>
      </c>
      <c r="G438" s="68"/>
      <c r="H438" s="162" t="s">
        <v>293</v>
      </c>
      <c r="I438" s="173">
        <v>20414.77563211487</v>
      </c>
      <c r="J438" s="168">
        <f>IFERROR(MIN('MP Calculations'!$E$30/I438,1),"-")</f>
        <v>0.40513348981719682</v>
      </c>
      <c r="K438" s="12"/>
      <c r="L438" s="159">
        <v>7.3682740000000004</v>
      </c>
      <c r="M438" s="187" t="s">
        <v>294</v>
      </c>
      <c r="N438" s="187">
        <v>192.78728599999999</v>
      </c>
      <c r="O438" s="186">
        <f t="shared" si="20"/>
        <v>1420.5095469643641</v>
      </c>
      <c r="P438" s="186">
        <f t="shared" si="21"/>
        <v>575.49599008031805</v>
      </c>
      <c r="Q438" s="215">
        <f>IF(P438="-",0,P438/(1+'General inputs'!$H$30)^'MP Calculations'!$C$40)</f>
        <v>1278.3429155151218</v>
      </c>
    </row>
    <row r="439" spans="3:17">
      <c r="C439" s="159"/>
      <c r="D439" s="165" t="s">
        <v>281</v>
      </c>
      <c r="E439" s="162">
        <v>34144</v>
      </c>
      <c r="F439" s="166" t="str">
        <f t="shared" si="19"/>
        <v>Date check - OK</v>
      </c>
      <c r="G439" s="68"/>
      <c r="H439" s="162" t="s">
        <v>293</v>
      </c>
      <c r="I439" s="173">
        <v>20414.77563211487</v>
      </c>
      <c r="J439" s="168">
        <f>IFERROR(MIN('MP Calculations'!$E$30/I439,1),"-")</f>
        <v>0.40513348981719682</v>
      </c>
      <c r="K439" s="12"/>
      <c r="L439" s="159">
        <v>0.300375</v>
      </c>
      <c r="M439" s="187" t="s">
        <v>294</v>
      </c>
      <c r="N439" s="187">
        <v>192.78728599999999</v>
      </c>
      <c r="O439" s="186">
        <f t="shared" si="20"/>
        <v>57.908481032250002</v>
      </c>
      <c r="P439" s="186">
        <f t="shared" si="21"/>
        <v>23.460665010608391</v>
      </c>
      <c r="Q439" s="215">
        <f>IF(P439="-",0,P439/(1+'General inputs'!$H$30)^'MP Calculations'!$C$40)</f>
        <v>52.112917251428854</v>
      </c>
    </row>
    <row r="440" spans="3:17">
      <c r="C440" s="159"/>
      <c r="D440" s="165" t="s">
        <v>281</v>
      </c>
      <c r="E440" s="162">
        <v>34145</v>
      </c>
      <c r="F440" s="166" t="str">
        <f t="shared" si="19"/>
        <v>Date check - OK</v>
      </c>
      <c r="G440" s="68"/>
      <c r="H440" s="162" t="s">
        <v>293</v>
      </c>
      <c r="I440" s="173">
        <v>20414.77563211487</v>
      </c>
      <c r="J440" s="168">
        <f>IFERROR(MIN('MP Calculations'!$E$30/I440,1),"-")</f>
        <v>0.40513348981719682</v>
      </c>
      <c r="K440" s="12"/>
      <c r="L440" s="159">
        <v>81.48057</v>
      </c>
      <c r="M440" s="187" t="s">
        <v>294</v>
      </c>
      <c r="N440" s="187">
        <v>192.78728599999999</v>
      </c>
      <c r="O440" s="186">
        <f t="shared" si="20"/>
        <v>15708.41795203302</v>
      </c>
      <c r="P440" s="186">
        <f t="shared" si="21"/>
        <v>6364.006184414241</v>
      </c>
      <c r="Q440" s="215">
        <f>IF(P440="-",0,P440/(1+'General inputs'!$H$30)^'MP Calculations'!$C$40)</f>
        <v>14136.29696881983</v>
      </c>
    </row>
    <row r="441" spans="3:17">
      <c r="C441" s="159"/>
      <c r="D441" s="165" t="s">
        <v>281</v>
      </c>
      <c r="E441" s="162">
        <v>34145</v>
      </c>
      <c r="F441" s="166" t="str">
        <f t="shared" si="19"/>
        <v>Date check - OK</v>
      </c>
      <c r="G441" s="68"/>
      <c r="H441" s="162" t="s">
        <v>293</v>
      </c>
      <c r="I441" s="173">
        <v>20414.77563211487</v>
      </c>
      <c r="J441" s="168">
        <f>IFERROR(MIN('MP Calculations'!$E$30/I441,1),"-")</f>
        <v>0.40513348981719682</v>
      </c>
      <c r="K441" s="12"/>
      <c r="L441" s="159">
        <v>58.890272000000003</v>
      </c>
      <c r="M441" s="187" t="s">
        <v>294</v>
      </c>
      <c r="N441" s="187">
        <v>192.78728599999999</v>
      </c>
      <c r="O441" s="186">
        <f t="shared" si="20"/>
        <v>11353.295710681792</v>
      </c>
      <c r="P441" s="186">
        <f t="shared" si="21"/>
        <v>4599.6003121951262</v>
      </c>
      <c r="Q441" s="215">
        <f>IF(P441="-",0,P441/(1+'General inputs'!$H$30)^'MP Calculations'!$C$40)</f>
        <v>10217.041603496089</v>
      </c>
    </row>
    <row r="442" spans="3:17">
      <c r="C442" s="159"/>
      <c r="D442" s="165" t="s">
        <v>281</v>
      </c>
      <c r="E442" s="162">
        <v>34145</v>
      </c>
      <c r="F442" s="166" t="str">
        <f t="shared" si="19"/>
        <v>Date check - OK</v>
      </c>
      <c r="G442" s="68"/>
      <c r="H442" s="162" t="s">
        <v>293</v>
      </c>
      <c r="I442" s="173">
        <v>20414.77563211487</v>
      </c>
      <c r="J442" s="168">
        <f>IFERROR(MIN('MP Calculations'!$E$30/I442,1),"-")</f>
        <v>0.40513348981719682</v>
      </c>
      <c r="K442" s="12"/>
      <c r="L442" s="159">
        <v>0.400621</v>
      </c>
      <c r="M442" s="187" t="s">
        <v>294</v>
      </c>
      <c r="N442" s="187">
        <v>192.78728599999999</v>
      </c>
      <c r="O442" s="186">
        <f t="shared" si="20"/>
        <v>77.234635304606002</v>
      </c>
      <c r="P442" s="186">
        <f t="shared" si="21"/>
        <v>31.290337335713506</v>
      </c>
      <c r="Q442" s="215">
        <f>IF(P442="-",0,P442/(1+'General inputs'!$H$30)^'MP Calculations'!$C$40)</f>
        <v>69.504882304401761</v>
      </c>
    </row>
    <row r="443" spans="3:17">
      <c r="C443" s="159"/>
      <c r="D443" s="165" t="s">
        <v>281</v>
      </c>
      <c r="E443" s="162">
        <v>34145</v>
      </c>
      <c r="F443" s="166" t="str">
        <f t="shared" si="19"/>
        <v>Date check - OK</v>
      </c>
      <c r="G443" s="68"/>
      <c r="H443" s="162" t="s">
        <v>293</v>
      </c>
      <c r="I443" s="173">
        <v>20414.77563211487</v>
      </c>
      <c r="J443" s="168">
        <f>IFERROR(MIN('MP Calculations'!$E$30/I443,1),"-")</f>
        <v>0.40513348981719682</v>
      </c>
      <c r="K443" s="12"/>
      <c r="L443" s="159">
        <v>0.70038500000000004</v>
      </c>
      <c r="M443" s="187" t="s">
        <v>294</v>
      </c>
      <c r="N443" s="187">
        <v>192.78728599999999</v>
      </c>
      <c r="O443" s="186">
        <f t="shared" si="20"/>
        <v>135.02532330510999</v>
      </c>
      <c r="P443" s="186">
        <f t="shared" si="21"/>
        <v>54.703280444294485</v>
      </c>
      <c r="Q443" s="215">
        <f>IF(P443="-",0,P443/(1+'General inputs'!$H$30)^'MP Calculations'!$C$40)</f>
        <v>121.51179541953223</v>
      </c>
    </row>
    <row r="444" spans="3:17">
      <c r="C444" s="159"/>
      <c r="D444" s="165" t="s">
        <v>281</v>
      </c>
      <c r="E444" s="162">
        <v>34145</v>
      </c>
      <c r="F444" s="166" t="str">
        <f t="shared" si="19"/>
        <v>Date check - OK</v>
      </c>
      <c r="G444" s="68"/>
      <c r="H444" s="162" t="s">
        <v>293</v>
      </c>
      <c r="I444" s="173">
        <v>20414.77563211487</v>
      </c>
      <c r="J444" s="168">
        <f>IFERROR(MIN('MP Calculations'!$E$30/I444,1),"-")</f>
        <v>0.40513348981719682</v>
      </c>
      <c r="K444" s="12"/>
      <c r="L444" s="159">
        <v>0.39908199999999999</v>
      </c>
      <c r="M444" s="187" t="s">
        <v>294</v>
      </c>
      <c r="N444" s="187">
        <v>192.78728599999999</v>
      </c>
      <c r="O444" s="186">
        <f t="shared" si="20"/>
        <v>76.937935671451996</v>
      </c>
      <c r="P444" s="186">
        <f t="shared" si="21"/>
        <v>31.17013437790634</v>
      </c>
      <c r="Q444" s="215">
        <f>IF(P444="-",0,P444/(1+'General inputs'!$H$30)^'MP Calculations'!$C$40)</f>
        <v>69.237876795787699</v>
      </c>
    </row>
    <row r="445" spans="3:17">
      <c r="C445" s="159"/>
      <c r="D445" s="165" t="s">
        <v>282</v>
      </c>
      <c r="E445" s="162">
        <v>34161</v>
      </c>
      <c r="F445" s="166" t="str">
        <f t="shared" si="19"/>
        <v>Date check - OK</v>
      </c>
      <c r="G445" s="68"/>
      <c r="H445" s="162" t="s">
        <v>293</v>
      </c>
      <c r="I445" s="173">
        <v>20414.77563211487</v>
      </c>
      <c r="J445" s="168">
        <f>IFERROR(MIN('MP Calculations'!$E$30/I445,1),"-")</f>
        <v>0.40513348981719682</v>
      </c>
      <c r="K445" s="12"/>
      <c r="L445" s="159">
        <v>432.65673299999997</v>
      </c>
      <c r="M445" s="187" t="s">
        <v>294</v>
      </c>
      <c r="N445" s="187">
        <v>237.97403299999999</v>
      </c>
      <c r="O445" s="186">
        <f t="shared" si="20"/>
        <v>102961.06765661418</v>
      </c>
      <c r="P445" s="186">
        <f t="shared" si="21"/>
        <v>41712.976655028615</v>
      </c>
      <c r="Q445" s="215">
        <f>IF(P445="-",0,P445/(1+'General inputs'!$H$30)^'MP Calculations'!$C$40)</f>
        <v>92656.576433419628</v>
      </c>
    </row>
    <row r="446" spans="3:17">
      <c r="C446" s="159"/>
      <c r="D446" s="165" t="s">
        <v>282</v>
      </c>
      <c r="E446" s="162">
        <v>34161</v>
      </c>
      <c r="F446" s="166" t="str">
        <f t="shared" si="19"/>
        <v>Date check - OK</v>
      </c>
      <c r="G446" s="68"/>
      <c r="H446" s="162" t="s">
        <v>293</v>
      </c>
      <c r="I446" s="173">
        <v>20414.77563211487</v>
      </c>
      <c r="J446" s="168">
        <f>IFERROR(MIN('MP Calculations'!$E$30/I446,1),"-")</f>
        <v>0.40513348981719682</v>
      </c>
      <c r="K446" s="12"/>
      <c r="L446" s="159">
        <v>13.500031</v>
      </c>
      <c r="M446" s="187" t="s">
        <v>294</v>
      </c>
      <c r="N446" s="187">
        <v>237.97403299999999</v>
      </c>
      <c r="O446" s="186">
        <f t="shared" si="20"/>
        <v>3212.656822695023</v>
      </c>
      <c r="P446" s="186">
        <f t="shared" si="21"/>
        <v>1301.5548701634621</v>
      </c>
      <c r="Q446" s="215">
        <f>IF(P446="-",0,P446/(1+'General inputs'!$H$30)^'MP Calculations'!$C$40)</f>
        <v>2891.1295232403895</v>
      </c>
    </row>
    <row r="447" spans="3:17">
      <c r="C447" s="159"/>
      <c r="D447" s="165" t="s">
        <v>281</v>
      </c>
      <c r="E447" s="162">
        <v>34549</v>
      </c>
      <c r="F447" s="166" t="str">
        <f t="shared" si="19"/>
        <v>Date check - OK</v>
      </c>
      <c r="G447" s="68"/>
      <c r="H447" s="162" t="s">
        <v>293</v>
      </c>
      <c r="I447" s="173">
        <v>20414.77563211487</v>
      </c>
      <c r="J447" s="168">
        <f>IFERROR(MIN('MP Calculations'!$E$30/I447,1),"-")</f>
        <v>0.40513348981719682</v>
      </c>
      <c r="K447" s="12"/>
      <c r="L447" s="159">
        <v>24.876515000000001</v>
      </c>
      <c r="M447" s="187" t="s">
        <v>294</v>
      </c>
      <c r="N447" s="187">
        <v>192.78728599999999</v>
      </c>
      <c r="O447" s="186">
        <f t="shared" si="20"/>
        <v>4795.8758119882905</v>
      </c>
      <c r="P447" s="186">
        <f t="shared" si="21"/>
        <v>1942.9699044406987</v>
      </c>
      <c r="Q447" s="215">
        <f>IF(P447="-",0,P447/(1+'General inputs'!$H$30)^'MP Calculations'!$C$40)</f>
        <v>4315.8976868878199</v>
      </c>
    </row>
    <row r="448" spans="3:17">
      <c r="C448" s="159"/>
      <c r="D448" s="165" t="s">
        <v>281</v>
      </c>
      <c r="E448" s="162">
        <v>34549</v>
      </c>
      <c r="F448" s="166" t="str">
        <f t="shared" si="19"/>
        <v>Date check - OK</v>
      </c>
      <c r="G448" s="68"/>
      <c r="H448" s="162" t="s">
        <v>293</v>
      </c>
      <c r="I448" s="173">
        <v>20414.77563211487</v>
      </c>
      <c r="J448" s="168">
        <f>IFERROR(MIN('MP Calculations'!$E$30/I448,1),"-")</f>
        <v>0.40513348981719682</v>
      </c>
      <c r="K448" s="12"/>
      <c r="L448" s="159">
        <v>16.620732</v>
      </c>
      <c r="M448" s="187" t="s">
        <v>294</v>
      </c>
      <c r="N448" s="187">
        <v>192.78728599999999</v>
      </c>
      <c r="O448" s="186">
        <f t="shared" si="20"/>
        <v>3204.2658136133518</v>
      </c>
      <c r="P448" s="186">
        <f t="shared" si="21"/>
        <v>1298.1553913711168</v>
      </c>
      <c r="Q448" s="215">
        <f>IF(P448="-",0,P448/(1+'General inputs'!$H$30)^'MP Calculations'!$C$40)</f>
        <v>2883.5782983742843</v>
      </c>
    </row>
    <row r="449" spans="3:17">
      <c r="C449" s="159"/>
      <c r="D449" s="165" t="s">
        <v>281</v>
      </c>
      <c r="E449" s="162">
        <v>34549</v>
      </c>
      <c r="F449" s="166" t="str">
        <f t="shared" si="19"/>
        <v>Date check - OK</v>
      </c>
      <c r="G449" s="68"/>
      <c r="H449" s="162" t="s">
        <v>293</v>
      </c>
      <c r="I449" s="173">
        <v>20414.77563211487</v>
      </c>
      <c r="J449" s="168">
        <f>IFERROR(MIN('MP Calculations'!$E$30/I449,1),"-")</f>
        <v>0.40513348981719682</v>
      </c>
      <c r="K449" s="12"/>
      <c r="L449" s="159">
        <v>66.130488</v>
      </c>
      <c r="M449" s="187" t="s">
        <v>294</v>
      </c>
      <c r="N449" s="187">
        <v>192.78728599999999</v>
      </c>
      <c r="O449" s="186">
        <f t="shared" si="20"/>
        <v>12749.117303375568</v>
      </c>
      <c r="P449" s="186">
        <f t="shared" si="21"/>
        <v>5165.0943852053533</v>
      </c>
      <c r="Q449" s="215">
        <f>IF(P449="-",0,P449/(1+'General inputs'!$H$30)^'MP Calculations'!$C$40)</f>
        <v>11473.167370588793</v>
      </c>
    </row>
    <row r="450" spans="3:17">
      <c r="C450" s="159"/>
      <c r="D450" s="165" t="s">
        <v>281</v>
      </c>
      <c r="E450" s="162">
        <v>34549</v>
      </c>
      <c r="F450" s="166" t="str">
        <f t="shared" si="19"/>
        <v>Date check - OK</v>
      </c>
      <c r="G450" s="68"/>
      <c r="H450" s="162" t="s">
        <v>293</v>
      </c>
      <c r="I450" s="173">
        <v>20414.77563211487</v>
      </c>
      <c r="J450" s="168">
        <f>IFERROR(MIN('MP Calculations'!$E$30/I450,1),"-")</f>
        <v>0.40513348981719682</v>
      </c>
      <c r="K450" s="12"/>
      <c r="L450" s="159">
        <v>21.754854999999999</v>
      </c>
      <c r="M450" s="187" t="s">
        <v>294</v>
      </c>
      <c r="N450" s="187">
        <v>192.78728599999999</v>
      </c>
      <c r="O450" s="186">
        <f t="shared" si="20"/>
        <v>4194.0594527735293</v>
      </c>
      <c r="P450" s="186">
        <f t="shared" si="21"/>
        <v>1699.1539426029426</v>
      </c>
      <c r="Q450" s="215">
        <f>IF(P450="-",0,P450/(1+'General inputs'!$H$30)^'MP Calculations'!$C$40)</f>
        <v>3774.3119714750997</v>
      </c>
    </row>
    <row r="451" spans="3:17">
      <c r="C451" s="159"/>
      <c r="D451" s="165" t="s">
        <v>281</v>
      </c>
      <c r="E451" s="162">
        <v>34549</v>
      </c>
      <c r="F451" s="166" t="str">
        <f t="shared" si="19"/>
        <v>Date check - OK</v>
      </c>
      <c r="G451" s="68"/>
      <c r="H451" s="162" t="s">
        <v>293</v>
      </c>
      <c r="I451" s="173">
        <v>20414.77563211487</v>
      </c>
      <c r="J451" s="168">
        <f>IFERROR(MIN('MP Calculations'!$E$30/I451,1),"-")</f>
        <v>0.40513348981719682</v>
      </c>
      <c r="K451" s="12"/>
      <c r="L451" s="159">
        <v>69.037719999999993</v>
      </c>
      <c r="M451" s="187" t="s">
        <v>294</v>
      </c>
      <c r="N451" s="187">
        <v>192.78728599999999</v>
      </c>
      <c r="O451" s="186">
        <f t="shared" si="20"/>
        <v>13309.594670427918</v>
      </c>
      <c r="P451" s="186">
        <f t="shared" si="21"/>
        <v>5392.1625368828263</v>
      </c>
      <c r="Q451" s="215">
        <f>IF(P451="-",0,P451/(1+'General inputs'!$H$30)^'MP Calculations'!$C$40)</f>
        <v>11977.551359425101</v>
      </c>
    </row>
    <row r="452" spans="3:17">
      <c r="C452" s="159"/>
      <c r="D452" s="165" t="s">
        <v>281</v>
      </c>
      <c r="E452" s="162">
        <v>34549</v>
      </c>
      <c r="F452" s="166" t="str">
        <f t="shared" si="19"/>
        <v>Date check - OK</v>
      </c>
      <c r="G452" s="68"/>
      <c r="H452" s="162" t="s">
        <v>293</v>
      </c>
      <c r="I452" s="173">
        <v>20414.77563211487</v>
      </c>
      <c r="J452" s="168">
        <f>IFERROR(MIN('MP Calculations'!$E$30/I452,1),"-")</f>
        <v>0.40513348981719682</v>
      </c>
      <c r="K452" s="12"/>
      <c r="L452" s="159">
        <v>81.834726000000003</v>
      </c>
      <c r="M452" s="187" t="s">
        <v>294</v>
      </c>
      <c r="N452" s="187">
        <v>192.78728599999999</v>
      </c>
      <c r="O452" s="186">
        <f t="shared" si="20"/>
        <v>15776.694726093636</v>
      </c>
      <c r="P452" s="186">
        <f t="shared" si="21"/>
        <v>6391.667392162879</v>
      </c>
      <c r="Q452" s="215">
        <f>IF(P452="-",0,P452/(1+'General inputs'!$H$30)^'MP Calculations'!$C$40)</f>
        <v>14197.740505472671</v>
      </c>
    </row>
    <row r="453" spans="3:17">
      <c r="C453" s="159"/>
      <c r="D453" s="165" t="s">
        <v>281</v>
      </c>
      <c r="E453" s="162">
        <v>34549</v>
      </c>
      <c r="F453" s="166" t="str">
        <f t="shared" si="19"/>
        <v>Date check - OK</v>
      </c>
      <c r="G453" s="68"/>
      <c r="H453" s="162" t="s">
        <v>293</v>
      </c>
      <c r="I453" s="173">
        <v>20414.77563211487</v>
      </c>
      <c r="J453" s="168">
        <f>IFERROR(MIN('MP Calculations'!$E$30/I453,1),"-")</f>
        <v>0.40513348981719682</v>
      </c>
      <c r="K453" s="12"/>
      <c r="L453" s="159">
        <v>2.0114869999999998</v>
      </c>
      <c r="M453" s="187" t="s">
        <v>294</v>
      </c>
      <c r="N453" s="187">
        <v>192.78728599999999</v>
      </c>
      <c r="O453" s="186">
        <f t="shared" si="20"/>
        <v>387.78911955428197</v>
      </c>
      <c r="P453" s="186">
        <f t="shared" si="21"/>
        <v>157.10635931816441</v>
      </c>
      <c r="Q453" s="215">
        <f>IF(P453="-",0,P453/(1+'General inputs'!$H$30)^'MP Calculations'!$C$40)</f>
        <v>348.97862865859298</v>
      </c>
    </row>
    <row r="454" spans="3:17">
      <c r="C454" s="159"/>
      <c r="D454" s="165" t="s">
        <v>281</v>
      </c>
      <c r="E454" s="162">
        <v>34549</v>
      </c>
      <c r="F454" s="166" t="str">
        <f t="shared" si="19"/>
        <v>Date check - OK</v>
      </c>
      <c r="G454" s="68"/>
      <c r="H454" s="162" t="s">
        <v>293</v>
      </c>
      <c r="I454" s="173">
        <v>20414.77563211487</v>
      </c>
      <c r="J454" s="168">
        <f>IFERROR(MIN('MP Calculations'!$E$30/I454,1),"-")</f>
        <v>0.40513348981719682</v>
      </c>
      <c r="K454" s="12"/>
      <c r="L454" s="159">
        <v>18.404634999999999</v>
      </c>
      <c r="M454" s="187" t="s">
        <v>294</v>
      </c>
      <c r="N454" s="187">
        <v>192.78728599999999</v>
      </c>
      <c r="O454" s="186">
        <f t="shared" si="20"/>
        <v>3548.1796314706098</v>
      </c>
      <c r="P454" s="186">
        <f t="shared" si="21"/>
        <v>1437.4863965959835</v>
      </c>
      <c r="Q454" s="215">
        <f>IF(P454="-",0,P454/(1+'General inputs'!$H$30)^'MP Calculations'!$C$40)</f>
        <v>3193.0727284153186</v>
      </c>
    </row>
    <row r="455" spans="3:17">
      <c r="C455" s="159"/>
      <c r="D455" s="165" t="s">
        <v>281</v>
      </c>
      <c r="E455" s="162">
        <v>34549</v>
      </c>
      <c r="F455" s="166" t="str">
        <f t="shared" si="19"/>
        <v>Date check - OK</v>
      </c>
      <c r="G455" s="68"/>
      <c r="H455" s="162" t="s">
        <v>293</v>
      </c>
      <c r="I455" s="173">
        <v>20414.77563211487</v>
      </c>
      <c r="J455" s="168">
        <f>IFERROR(MIN('MP Calculations'!$E$30/I455,1),"-")</f>
        <v>0.40513348981719682</v>
      </c>
      <c r="K455" s="12"/>
      <c r="L455" s="159">
        <v>11.793011999999999</v>
      </c>
      <c r="M455" s="187" t="s">
        <v>294</v>
      </c>
      <c r="N455" s="187">
        <v>192.78728599999999</v>
      </c>
      <c r="O455" s="186">
        <f t="shared" si="20"/>
        <v>2273.5427772454318</v>
      </c>
      <c r="P455" s="186">
        <f t="shared" si="21"/>
        <v>921.0883195941235</v>
      </c>
      <c r="Q455" s="215">
        <f>IF(P455="-",0,P455/(1+'General inputs'!$H$30)^'MP Calculations'!$C$40)</f>
        <v>2046.0033574735162</v>
      </c>
    </row>
    <row r="456" spans="3:17">
      <c r="C456" s="159"/>
      <c r="D456" s="165" t="s">
        <v>281</v>
      </c>
      <c r="E456" s="162">
        <v>34549</v>
      </c>
      <c r="F456" s="166" t="str">
        <f t="shared" si="19"/>
        <v>Date check - OK</v>
      </c>
      <c r="G456" s="68"/>
      <c r="H456" s="162" t="s">
        <v>293</v>
      </c>
      <c r="I456" s="173">
        <v>20414.77563211487</v>
      </c>
      <c r="J456" s="168">
        <f>IFERROR(MIN('MP Calculations'!$E$30/I456,1),"-")</f>
        <v>0.40513348981719682</v>
      </c>
      <c r="K456" s="12"/>
      <c r="L456" s="159">
        <v>60.807085000000001</v>
      </c>
      <c r="M456" s="187" t="s">
        <v>294</v>
      </c>
      <c r="N456" s="187">
        <v>192.78728599999999</v>
      </c>
      <c r="O456" s="186">
        <f t="shared" si="20"/>
        <v>11722.832886721309</v>
      </c>
      <c r="P456" s="186">
        <f t="shared" si="21"/>
        <v>4749.3121979412081</v>
      </c>
      <c r="Q456" s="215">
        <f>IF(P456="-",0,P456/(1+'General inputs'!$H$30)^'MP Calculations'!$C$40)</f>
        <v>10549.594969307036</v>
      </c>
    </row>
    <row r="457" spans="3:17">
      <c r="C457" s="159"/>
      <c r="D457" s="165" t="s">
        <v>281</v>
      </c>
      <c r="E457" s="162">
        <v>34549</v>
      </c>
      <c r="F457" s="166" t="str">
        <f t="shared" si="19"/>
        <v>Date check - OK</v>
      </c>
      <c r="G457" s="68"/>
      <c r="H457" s="162" t="s">
        <v>293</v>
      </c>
      <c r="I457" s="173">
        <v>20414.77563211487</v>
      </c>
      <c r="J457" s="168">
        <f>IFERROR(MIN('MP Calculations'!$E$30/I457,1),"-")</f>
        <v>0.40513348981719682</v>
      </c>
      <c r="K457" s="12"/>
      <c r="L457" s="159">
        <v>5.7244669999999998</v>
      </c>
      <c r="M457" s="187" t="s">
        <v>294</v>
      </c>
      <c r="N457" s="187">
        <v>192.78728599999999</v>
      </c>
      <c r="O457" s="186">
        <f t="shared" si="20"/>
        <v>1103.6044567265619</v>
      </c>
      <c r="P457" s="186">
        <f t="shared" si="21"/>
        <v>447.10712493144359</v>
      </c>
      <c r="Q457" s="215">
        <f>IF(P457="-",0,P457/(1+'General inputs'!$H$30)^'MP Calculations'!$C$40)</f>
        <v>993.15414092229764</v>
      </c>
    </row>
    <row r="458" spans="3:17">
      <c r="C458" s="159"/>
      <c r="D458" s="165" t="s">
        <v>281</v>
      </c>
      <c r="E458" s="162">
        <v>34549</v>
      </c>
      <c r="F458" s="166" t="str">
        <f t="shared" si="19"/>
        <v>Date check - OK</v>
      </c>
      <c r="G458" s="68"/>
      <c r="H458" s="162" t="s">
        <v>293</v>
      </c>
      <c r="I458" s="173">
        <v>20414.77563211487</v>
      </c>
      <c r="J458" s="168">
        <f>IFERROR(MIN('MP Calculations'!$E$30/I458,1),"-")</f>
        <v>0.40513348981719682</v>
      </c>
      <c r="K458" s="12"/>
      <c r="L458" s="159">
        <v>17.578676000000002</v>
      </c>
      <c r="M458" s="187" t="s">
        <v>294</v>
      </c>
      <c r="N458" s="187">
        <v>192.78728599999999</v>
      </c>
      <c r="O458" s="186">
        <f t="shared" si="20"/>
        <v>3388.945237513336</v>
      </c>
      <c r="P458" s="186">
        <f t="shared" si="21"/>
        <v>1372.9752108731468</v>
      </c>
      <c r="Q458" s="215">
        <f>IF(P458="-",0,P458/(1+'General inputs'!$H$30)^'MP Calculations'!$C$40)</f>
        <v>3049.7747408328869</v>
      </c>
    </row>
    <row r="459" spans="3:17">
      <c r="C459" s="159"/>
      <c r="D459" s="165" t="s">
        <v>281</v>
      </c>
      <c r="E459" s="162">
        <v>34549</v>
      </c>
      <c r="F459" s="166" t="str">
        <f t="shared" si="19"/>
        <v>Date check - OK</v>
      </c>
      <c r="G459" s="68"/>
      <c r="H459" s="162" t="s">
        <v>293</v>
      </c>
      <c r="I459" s="173">
        <v>20414.77563211487</v>
      </c>
      <c r="J459" s="168">
        <f>IFERROR(MIN('MP Calculations'!$E$30/I459,1),"-")</f>
        <v>0.40513348981719682</v>
      </c>
      <c r="K459" s="12"/>
      <c r="L459" s="159">
        <v>75.326595999999995</v>
      </c>
      <c r="M459" s="187" t="s">
        <v>294</v>
      </c>
      <c r="N459" s="187">
        <v>192.78728599999999</v>
      </c>
      <c r="O459" s="186">
        <f t="shared" si="20"/>
        <v>14522.010006458455</v>
      </c>
      <c r="P459" s="186">
        <f t="shared" si="21"/>
        <v>5883.3525930767664</v>
      </c>
      <c r="Q459" s="215">
        <f>IF(P459="-",0,P459/(1+'General inputs'!$H$30)^'MP Calculations'!$C$40)</f>
        <v>13068.626430894086</v>
      </c>
    </row>
    <row r="460" spans="3:17">
      <c r="C460" s="159"/>
      <c r="D460" s="165" t="s">
        <v>281</v>
      </c>
      <c r="E460" s="162">
        <v>34549</v>
      </c>
      <c r="F460" s="166" t="str">
        <f t="shared" si="19"/>
        <v>Date check - OK</v>
      </c>
      <c r="G460" s="68"/>
      <c r="H460" s="162" t="s">
        <v>293</v>
      </c>
      <c r="I460" s="173">
        <v>20414.77563211487</v>
      </c>
      <c r="J460" s="168">
        <f>IFERROR(MIN('MP Calculations'!$E$30/I460,1),"-")</f>
        <v>0.40513348981719682</v>
      </c>
      <c r="K460" s="12"/>
      <c r="L460" s="159">
        <v>2.9762680000000001</v>
      </c>
      <c r="M460" s="187" t="s">
        <v>294</v>
      </c>
      <c r="N460" s="187">
        <v>192.78728599999999</v>
      </c>
      <c r="O460" s="186">
        <f t="shared" si="20"/>
        <v>573.78663012864797</v>
      </c>
      <c r="P460" s="186">
        <f t="shared" si="21"/>
        <v>232.46017987446828</v>
      </c>
      <c r="Q460" s="215">
        <f>IF(P460="-",0,P460/(1+'General inputs'!$H$30)^'MP Calculations'!$C$40)</f>
        <v>516.36124178801708</v>
      </c>
    </row>
    <row r="461" spans="3:17">
      <c r="C461" s="159"/>
      <c r="D461" s="165" t="s">
        <v>281</v>
      </c>
      <c r="E461" s="162">
        <v>34549</v>
      </c>
      <c r="F461" s="166" t="str">
        <f t="shared" si="19"/>
        <v>Date check - OK</v>
      </c>
      <c r="G461" s="68"/>
      <c r="H461" s="162" t="s">
        <v>293</v>
      </c>
      <c r="I461" s="173">
        <v>20414.77563211487</v>
      </c>
      <c r="J461" s="168">
        <f>IFERROR(MIN('MP Calculations'!$E$30/I461,1),"-")</f>
        <v>0.40513348981719682</v>
      </c>
      <c r="K461" s="12"/>
      <c r="L461" s="159">
        <v>2.6281279999999998</v>
      </c>
      <c r="M461" s="187" t="s">
        <v>294</v>
      </c>
      <c r="N461" s="187">
        <v>192.78728599999999</v>
      </c>
      <c r="O461" s="186">
        <f t="shared" si="20"/>
        <v>506.66966438060797</v>
      </c>
      <c r="P461" s="186">
        <f t="shared" si="21"/>
        <v>205.26884931502357</v>
      </c>
      <c r="Q461" s="215">
        <f>IF(P461="-",0,P461/(1+'General inputs'!$H$30)^'MP Calculations'!$C$40)</f>
        <v>455.96143816949882</v>
      </c>
    </row>
    <row r="462" spans="3:17">
      <c r="C462" s="159"/>
      <c r="D462" s="165" t="s">
        <v>281</v>
      </c>
      <c r="E462" s="162">
        <v>34549</v>
      </c>
      <c r="F462" s="166" t="str">
        <f t="shared" si="19"/>
        <v>Date check - OK</v>
      </c>
      <c r="G462" s="68"/>
      <c r="H462" s="162" t="s">
        <v>293</v>
      </c>
      <c r="I462" s="173">
        <v>20414.77563211487</v>
      </c>
      <c r="J462" s="168">
        <f>IFERROR(MIN('MP Calculations'!$E$30/I462,1),"-")</f>
        <v>0.40513348981719682</v>
      </c>
      <c r="K462" s="12"/>
      <c r="L462" s="159">
        <v>76.035982000000004</v>
      </c>
      <c r="M462" s="187" t="s">
        <v>294</v>
      </c>
      <c r="N462" s="187">
        <v>192.78728599999999</v>
      </c>
      <c r="O462" s="186">
        <f t="shared" si="20"/>
        <v>14658.770608124853</v>
      </c>
      <c r="P462" s="186">
        <f t="shared" si="21"/>
        <v>5938.7588928993737</v>
      </c>
      <c r="Q462" s="215">
        <f>IF(P462="-",0,P462/(1+'General inputs'!$H$30)^'MP Calculations'!$C$40)</f>
        <v>13191.699835529367</v>
      </c>
    </row>
    <row r="463" spans="3:17">
      <c r="C463" s="159"/>
      <c r="D463" s="165" t="s">
        <v>281</v>
      </c>
      <c r="E463" s="162">
        <v>34549</v>
      </c>
      <c r="F463" s="166" t="str">
        <f t="shared" si="19"/>
        <v>Date check - OK</v>
      </c>
      <c r="G463" s="68"/>
      <c r="H463" s="162" t="s">
        <v>293</v>
      </c>
      <c r="I463" s="173">
        <v>20414.77563211487</v>
      </c>
      <c r="J463" s="168">
        <f>IFERROR(MIN('MP Calculations'!$E$30/I463,1),"-")</f>
        <v>0.40513348981719682</v>
      </c>
      <c r="K463" s="12"/>
      <c r="L463" s="159">
        <v>11.451563</v>
      </c>
      <c r="M463" s="187" t="s">
        <v>294</v>
      </c>
      <c r="N463" s="187">
        <v>192.78728599999999</v>
      </c>
      <c r="O463" s="186">
        <f t="shared" si="20"/>
        <v>2207.7157512280178</v>
      </c>
      <c r="P463" s="186">
        <f t="shared" si="21"/>
        <v>894.41958681940116</v>
      </c>
      <c r="Q463" s="215">
        <f>IF(P463="-",0,P463/(1+'General inputs'!$H$30)^'MP Calculations'!$C$40)</f>
        <v>1986.764394568537</v>
      </c>
    </row>
    <row r="464" spans="3:17">
      <c r="C464" s="159"/>
      <c r="D464" s="165" t="s">
        <v>281</v>
      </c>
      <c r="E464" s="162">
        <v>34549</v>
      </c>
      <c r="F464" s="166" t="str">
        <f t="shared" si="19"/>
        <v>Date check - OK</v>
      </c>
      <c r="G464" s="68"/>
      <c r="H464" s="162" t="s">
        <v>293</v>
      </c>
      <c r="I464" s="173">
        <v>20414.77563211487</v>
      </c>
      <c r="J464" s="168">
        <f>IFERROR(MIN('MP Calculations'!$E$30/I464,1),"-")</f>
        <v>0.40513348981719682</v>
      </c>
      <c r="K464" s="12"/>
      <c r="L464" s="159">
        <v>13.294009000000001</v>
      </c>
      <c r="M464" s="187" t="s">
        <v>294</v>
      </c>
      <c r="N464" s="187">
        <v>192.78728599999999</v>
      </c>
      <c r="O464" s="186">
        <f t="shared" si="20"/>
        <v>2562.915915169574</v>
      </c>
      <c r="P464" s="186">
        <f t="shared" si="21"/>
        <v>1038.3230688206843</v>
      </c>
      <c r="Q464" s="215">
        <f>IF(P464="-",0,P464/(1+'General inputs'!$H$30)^'MP Calculations'!$C$40)</f>
        <v>2306.4156170012498</v>
      </c>
    </row>
    <row r="465" spans="3:17">
      <c r="C465" s="159"/>
      <c r="D465" s="165" t="s">
        <v>281</v>
      </c>
      <c r="E465" s="162">
        <v>34586</v>
      </c>
      <c r="F465" s="166" t="str">
        <f t="shared" si="19"/>
        <v>Date check - OK</v>
      </c>
      <c r="G465" s="68"/>
      <c r="H465" s="162" t="s">
        <v>293</v>
      </c>
      <c r="I465" s="173">
        <v>20414.77563211487</v>
      </c>
      <c r="J465" s="168">
        <f>IFERROR(MIN('MP Calculations'!$E$30/I465,1),"-")</f>
        <v>0.40513348981719682</v>
      </c>
      <c r="K465" s="12"/>
      <c r="L465" s="159">
        <v>6.100428</v>
      </c>
      <c r="M465" s="187" t="s">
        <v>294</v>
      </c>
      <c r="N465" s="187">
        <v>192.78728599999999</v>
      </c>
      <c r="O465" s="186">
        <f t="shared" si="20"/>
        <v>1176.084957558408</v>
      </c>
      <c r="P465" s="186">
        <f t="shared" si="21"/>
        <v>476.47140317714764</v>
      </c>
      <c r="Q465" s="215">
        <f>IF(P465="-",0,P465/(1+'General inputs'!$H$30)^'MP Calculations'!$C$40)</f>
        <v>1058.380689345983</v>
      </c>
    </row>
    <row r="466" spans="3:17">
      <c r="C466" s="159"/>
      <c r="D466" s="165" t="s">
        <v>281</v>
      </c>
      <c r="E466" s="162">
        <v>34586</v>
      </c>
      <c r="F466" s="166" t="str">
        <f t="shared" si="19"/>
        <v>Date check - OK</v>
      </c>
      <c r="G466" s="68"/>
      <c r="H466" s="162" t="s">
        <v>293</v>
      </c>
      <c r="I466" s="173">
        <v>20414.77563211487</v>
      </c>
      <c r="J466" s="168">
        <f>IFERROR(MIN('MP Calculations'!$E$30/I466,1),"-")</f>
        <v>0.40513348981719682</v>
      </c>
      <c r="K466" s="12"/>
      <c r="L466" s="159">
        <v>1.6183879999999999</v>
      </c>
      <c r="M466" s="187" t="s">
        <v>294</v>
      </c>
      <c r="N466" s="187">
        <v>192.78728599999999</v>
      </c>
      <c r="O466" s="186">
        <f t="shared" si="20"/>
        <v>312.00463021496796</v>
      </c>
      <c r="P466" s="186">
        <f t="shared" si="21"/>
        <v>126.40352467811398</v>
      </c>
      <c r="Q466" s="215">
        <f>IF(P466="-",0,P466/(1+'General inputs'!$H$30)^'MP Calculations'!$C$40)</f>
        <v>280.77875963281042</v>
      </c>
    </row>
    <row r="467" spans="3:17">
      <c r="C467" s="159"/>
      <c r="D467" s="165" t="s">
        <v>281</v>
      </c>
      <c r="E467" s="162">
        <v>34586</v>
      </c>
      <c r="F467" s="166" t="str">
        <f t="shared" si="19"/>
        <v>Date check - OK</v>
      </c>
      <c r="G467" s="68"/>
      <c r="H467" s="162" t="s">
        <v>293</v>
      </c>
      <c r="I467" s="173">
        <v>20414.77563211487</v>
      </c>
      <c r="J467" s="168">
        <f>IFERROR(MIN('MP Calculations'!$E$30/I467,1),"-")</f>
        <v>0.40513348981719682</v>
      </c>
      <c r="K467" s="12"/>
      <c r="L467" s="159">
        <v>11.897975000000001</v>
      </c>
      <c r="M467" s="187" t="s">
        <v>294</v>
      </c>
      <c r="N467" s="187">
        <v>192.78728599999999</v>
      </c>
      <c r="O467" s="186">
        <f t="shared" si="20"/>
        <v>2293.77830914585</v>
      </c>
      <c r="P467" s="186">
        <f t="shared" si="21"/>
        <v>929.28641125124716</v>
      </c>
      <c r="Q467" s="215">
        <f>IF(P467="-",0,P467/(1+'General inputs'!$H$30)^'MP Calculations'!$C$40)</f>
        <v>2064.2136883381413</v>
      </c>
    </row>
    <row r="468" spans="3:17">
      <c r="C468" s="159"/>
      <c r="D468" s="165" t="s">
        <v>281</v>
      </c>
      <c r="E468" s="162">
        <v>34586</v>
      </c>
      <c r="F468" s="166" t="str">
        <f t="shared" si="19"/>
        <v>Date check - OK</v>
      </c>
      <c r="G468" s="68"/>
      <c r="H468" s="162" t="s">
        <v>293</v>
      </c>
      <c r="I468" s="173">
        <v>20414.77563211487</v>
      </c>
      <c r="J468" s="168">
        <f>IFERROR(MIN('MP Calculations'!$E$30/I468,1),"-")</f>
        <v>0.40513348981719682</v>
      </c>
      <c r="K468" s="12"/>
      <c r="L468" s="159">
        <v>6.6980029999999999</v>
      </c>
      <c r="M468" s="187" t="s">
        <v>294</v>
      </c>
      <c r="N468" s="187">
        <v>192.78728599999999</v>
      </c>
      <c r="O468" s="186">
        <f t="shared" si="20"/>
        <v>1291.289819989858</v>
      </c>
      <c r="P468" s="186">
        <f t="shared" si="21"/>
        <v>523.14475113791104</v>
      </c>
      <c r="Q468" s="215">
        <f>IF(P468="-",0,P468/(1+'General inputs'!$H$30)^'MP Calculations'!$C$40)</f>
        <v>1162.0556840243769</v>
      </c>
    </row>
    <row r="469" spans="3:17">
      <c r="C469" s="159"/>
      <c r="D469" s="165" t="s">
        <v>281</v>
      </c>
      <c r="E469" s="162">
        <v>34704</v>
      </c>
      <c r="F469" s="166" t="str">
        <f t="shared" si="19"/>
        <v>Date check - OK</v>
      </c>
      <c r="G469" s="68"/>
      <c r="H469" s="162" t="s">
        <v>293</v>
      </c>
      <c r="I469" s="173">
        <v>20414.77563211487</v>
      </c>
      <c r="J469" s="168">
        <f>IFERROR(MIN('MP Calculations'!$E$30/I469,1),"-")</f>
        <v>0.40513348981719682</v>
      </c>
      <c r="K469" s="12"/>
      <c r="L469" s="159">
        <v>5.5646740000000001</v>
      </c>
      <c r="M469" s="187" t="s">
        <v>294</v>
      </c>
      <c r="N469" s="187">
        <v>192.78728599999999</v>
      </c>
      <c r="O469" s="186">
        <f t="shared" si="20"/>
        <v>1072.7983979347639</v>
      </c>
      <c r="P469" s="186">
        <f t="shared" si="21"/>
        <v>434.62655882560875</v>
      </c>
      <c r="Q469" s="215">
        <f>IF(P469="-",0,P469/(1+'General inputs'!$H$30)^'MP Calculations'!$C$40)</f>
        <v>965.43119664811513</v>
      </c>
    </row>
    <row r="470" spans="3:17">
      <c r="C470" s="159"/>
      <c r="D470" s="165" t="s">
        <v>281</v>
      </c>
      <c r="E470" s="162">
        <v>34862</v>
      </c>
      <c r="F470" s="166" t="str">
        <f t="shared" si="19"/>
        <v>Date check - OK</v>
      </c>
      <c r="G470" s="68"/>
      <c r="H470" s="162" t="s">
        <v>293</v>
      </c>
      <c r="I470" s="173">
        <v>20414.77563211487</v>
      </c>
      <c r="J470" s="168">
        <f>IFERROR(MIN('MP Calculations'!$E$30/I470,1),"-")</f>
        <v>0.40513348981719682</v>
      </c>
      <c r="K470" s="12"/>
      <c r="L470" s="159">
        <v>83.194537999999994</v>
      </c>
      <c r="M470" s="187" t="s">
        <v>294</v>
      </c>
      <c r="N470" s="187">
        <v>192.78728599999999</v>
      </c>
      <c r="O470" s="186">
        <f t="shared" si="20"/>
        <v>16038.849191043866</v>
      </c>
      <c r="P470" s="186">
        <f t="shared" si="21"/>
        <v>6497.8749454193257</v>
      </c>
      <c r="Q470" s="215">
        <f>IF(P470="-",0,P470/(1+'General inputs'!$H$30)^'MP Calculations'!$C$40)</f>
        <v>14433.658175829723</v>
      </c>
    </row>
    <row r="471" spans="3:17">
      <c r="C471" s="159"/>
      <c r="D471" s="165" t="s">
        <v>281</v>
      </c>
      <c r="E471" s="162">
        <v>34862</v>
      </c>
      <c r="F471" s="166" t="str">
        <f t="shared" ref="F471:F534" si="22">IF(E471="","-",IF(OR(E471&lt;$E$15,E471&gt;$E$16),"ERROR - date outside of range","Date check - OK"))</f>
        <v>Date check - OK</v>
      </c>
      <c r="G471" s="68"/>
      <c r="H471" s="162" t="s">
        <v>293</v>
      </c>
      <c r="I471" s="173">
        <v>20414.77563211487</v>
      </c>
      <c r="J471" s="168">
        <f>IFERROR(MIN('MP Calculations'!$E$30/I471,1),"-")</f>
        <v>0.40513348981719682</v>
      </c>
      <c r="K471" s="12"/>
      <c r="L471" s="159">
        <v>9.3978350000000006</v>
      </c>
      <c r="M471" s="187" t="s">
        <v>294</v>
      </c>
      <c r="N471" s="187">
        <v>192.78728599999999</v>
      </c>
      <c r="O471" s="186">
        <f t="shared" ref="O471:O534" si="23">IF(N471="","-",L471*N471)</f>
        <v>1811.7831039258101</v>
      </c>
      <c r="P471" s="186">
        <f t="shared" ref="P471:P534" si="24">IF(O471="-","-",IF(OR(E471&lt;$E$15,E471&gt;$E$16),0,O471*J471))</f>
        <v>734.0140116852964</v>
      </c>
      <c r="Q471" s="215">
        <f>IF(P471="-",0,P471/(1+'General inputs'!$H$30)^'MP Calculations'!$C$40)</f>
        <v>1630.4572540909926</v>
      </c>
    </row>
    <row r="472" spans="3:17">
      <c r="C472" s="159"/>
      <c r="D472" s="165" t="s">
        <v>281</v>
      </c>
      <c r="E472" s="162">
        <v>34862</v>
      </c>
      <c r="F472" s="166" t="str">
        <f t="shared" si="22"/>
        <v>Date check - OK</v>
      </c>
      <c r="G472" s="68"/>
      <c r="H472" s="162" t="s">
        <v>293</v>
      </c>
      <c r="I472" s="173">
        <v>20414.77563211487</v>
      </c>
      <c r="J472" s="168">
        <f>IFERROR(MIN('MP Calculations'!$E$30/I472,1),"-")</f>
        <v>0.40513348981719682</v>
      </c>
      <c r="K472" s="12"/>
      <c r="L472" s="159">
        <v>129.27444600000001</v>
      </c>
      <c r="M472" s="187" t="s">
        <v>294</v>
      </c>
      <c r="N472" s="187">
        <v>192.78728599999999</v>
      </c>
      <c r="O472" s="186">
        <f t="shared" si="23"/>
        <v>24922.469593493559</v>
      </c>
      <c r="P472" s="186">
        <f t="shared" si="24"/>
        <v>10096.92708127502</v>
      </c>
      <c r="Q472" s="215">
        <f>IF(P472="-",0,P472/(1+'General inputs'!$H$30)^'MP Calculations'!$C$40)</f>
        <v>22428.193115679762</v>
      </c>
    </row>
    <row r="473" spans="3:17">
      <c r="C473" s="159"/>
      <c r="D473" s="165" t="s">
        <v>281</v>
      </c>
      <c r="E473" s="162">
        <v>34862</v>
      </c>
      <c r="F473" s="166" t="str">
        <f t="shared" si="22"/>
        <v>Date check - OK</v>
      </c>
      <c r="G473" s="68"/>
      <c r="H473" s="162" t="s">
        <v>293</v>
      </c>
      <c r="I473" s="173">
        <v>20414.77563211487</v>
      </c>
      <c r="J473" s="168">
        <f>IFERROR(MIN('MP Calculations'!$E$30/I473,1),"-")</f>
        <v>0.40513348981719682</v>
      </c>
      <c r="K473" s="12"/>
      <c r="L473" s="159">
        <v>84.396113</v>
      </c>
      <c r="M473" s="187" t="s">
        <v>294</v>
      </c>
      <c r="N473" s="187">
        <v>192.78728599999999</v>
      </c>
      <c r="O473" s="186">
        <f t="shared" si="23"/>
        <v>16270.497574219318</v>
      </c>
      <c r="P473" s="186">
        <f t="shared" si="24"/>
        <v>6591.7234633057078</v>
      </c>
      <c r="Q473" s="215">
        <f>IF(P473="-",0,P473/(1+'General inputs'!$H$30)^'MP Calculations'!$C$40)</f>
        <v>14642.122856799797</v>
      </c>
    </row>
    <row r="474" spans="3:17">
      <c r="C474" s="159"/>
      <c r="D474" s="165" t="s">
        <v>281</v>
      </c>
      <c r="E474" s="162">
        <v>34862</v>
      </c>
      <c r="F474" s="166" t="str">
        <f t="shared" si="22"/>
        <v>Date check - OK</v>
      </c>
      <c r="G474" s="68"/>
      <c r="H474" s="162" t="s">
        <v>293</v>
      </c>
      <c r="I474" s="173">
        <v>20414.77563211487</v>
      </c>
      <c r="J474" s="168">
        <f>IFERROR(MIN('MP Calculations'!$E$30/I474,1),"-")</f>
        <v>0.40513348981719682</v>
      </c>
      <c r="K474" s="12"/>
      <c r="L474" s="159">
        <v>4.3000870000000004</v>
      </c>
      <c r="M474" s="187" t="s">
        <v>294</v>
      </c>
      <c r="N474" s="187">
        <v>192.78728599999999</v>
      </c>
      <c r="O474" s="186">
        <f t="shared" si="23"/>
        <v>829.0021022938821</v>
      </c>
      <c r="P474" s="186">
        <f t="shared" si="24"/>
        <v>335.85651476811324</v>
      </c>
      <c r="Q474" s="215">
        <f>IF(P474="-",0,P474/(1+'General inputs'!$H$30)^'MP Calculations'!$C$40)</f>
        <v>746.03438370352058</v>
      </c>
    </row>
    <row r="475" spans="3:17">
      <c r="C475" s="159"/>
      <c r="D475" s="165" t="s">
        <v>281</v>
      </c>
      <c r="E475" s="162">
        <v>34862</v>
      </c>
      <c r="F475" s="166" t="str">
        <f t="shared" si="22"/>
        <v>Date check - OK</v>
      </c>
      <c r="G475" s="68"/>
      <c r="H475" s="162" t="s">
        <v>293</v>
      </c>
      <c r="I475" s="173">
        <v>20414.77563211487</v>
      </c>
      <c r="J475" s="168">
        <f>IFERROR(MIN('MP Calculations'!$E$30/I475,1),"-")</f>
        <v>0.40513348981719682</v>
      </c>
      <c r="K475" s="12"/>
      <c r="L475" s="159">
        <v>0.49941799999999997</v>
      </c>
      <c r="M475" s="187" t="s">
        <v>294</v>
      </c>
      <c r="N475" s="187">
        <v>192.78728599999999</v>
      </c>
      <c r="O475" s="186">
        <f t="shared" si="23"/>
        <v>96.281440799547994</v>
      </c>
      <c r="P475" s="186">
        <f t="shared" si="24"/>
        <v>39.006836115748719</v>
      </c>
      <c r="Q475" s="215">
        <f>IF(P475="-",0,P475/(1+'General inputs'!$H$30)^'MP Calculations'!$C$40)</f>
        <v>86.645456205989504</v>
      </c>
    </row>
    <row r="476" spans="3:17">
      <c r="C476" s="159"/>
      <c r="D476" s="165" t="s">
        <v>281</v>
      </c>
      <c r="E476" s="162">
        <v>34862</v>
      </c>
      <c r="F476" s="166" t="str">
        <f t="shared" si="22"/>
        <v>Date check - OK</v>
      </c>
      <c r="G476" s="68"/>
      <c r="H476" s="162" t="s">
        <v>293</v>
      </c>
      <c r="I476" s="173">
        <v>20414.77563211487</v>
      </c>
      <c r="J476" s="168">
        <f>IFERROR(MIN('MP Calculations'!$E$30/I476,1),"-")</f>
        <v>0.40513348981719682</v>
      </c>
      <c r="K476" s="12"/>
      <c r="L476" s="159">
        <v>0.699909</v>
      </c>
      <c r="M476" s="187" t="s">
        <v>294</v>
      </c>
      <c r="N476" s="187">
        <v>192.78728599999999</v>
      </c>
      <c r="O476" s="186">
        <f t="shared" si="23"/>
        <v>134.933556556974</v>
      </c>
      <c r="P476" s="186">
        <f t="shared" si="24"/>
        <v>54.666102661372975</v>
      </c>
      <c r="Q476" s="215">
        <f>IF(P476="-",0,P476/(1+'General inputs'!$H$30)^'MP Calculations'!$C$40)</f>
        <v>121.42921281907721</v>
      </c>
    </row>
    <row r="477" spans="3:17">
      <c r="C477" s="159"/>
      <c r="D477" s="165"/>
      <c r="E477" s="162"/>
      <c r="F477" s="166" t="str">
        <f t="shared" si="22"/>
        <v>-</v>
      </c>
      <c r="G477" s="68"/>
      <c r="H477" s="162"/>
      <c r="I477" s="173"/>
      <c r="J477" s="168" t="str">
        <f>IFERROR(MIN('MP Calculations'!$E$30/I477,1),"-")</f>
        <v>-</v>
      </c>
      <c r="K477" s="12"/>
      <c r="L477" s="159"/>
      <c r="M477" s="187"/>
      <c r="N477" s="187"/>
      <c r="O477" s="186" t="str">
        <f t="shared" si="23"/>
        <v>-</v>
      </c>
      <c r="P477" s="186" t="str">
        <f t="shared" si="24"/>
        <v>-</v>
      </c>
      <c r="Q477" s="215">
        <f>IF(P477="-",0,P477/(1+'General inputs'!$H$30)^'MP Calculations'!$C$40)</f>
        <v>0</v>
      </c>
    </row>
    <row r="478" spans="3:17">
      <c r="C478" s="159"/>
      <c r="D478" s="165"/>
      <c r="E478" s="162"/>
      <c r="F478" s="166" t="str">
        <f t="shared" si="22"/>
        <v>-</v>
      </c>
      <c r="G478" s="68"/>
      <c r="H478" s="162"/>
      <c r="I478" s="173"/>
      <c r="J478" s="168" t="str">
        <f>IFERROR(MIN('MP Calculations'!$E$30/I478,1),"-")</f>
        <v>-</v>
      </c>
      <c r="K478" s="12"/>
      <c r="L478" s="159"/>
      <c r="M478" s="187"/>
      <c r="N478" s="187"/>
      <c r="O478" s="186" t="str">
        <f t="shared" si="23"/>
        <v>-</v>
      </c>
      <c r="P478" s="186" t="str">
        <f t="shared" si="24"/>
        <v>-</v>
      </c>
      <c r="Q478" s="215">
        <f>IF(P478="-",0,P478/(1+'General inputs'!$H$30)^'MP Calculations'!$C$40)</f>
        <v>0</v>
      </c>
    </row>
    <row r="479" spans="3:17">
      <c r="C479" s="159"/>
      <c r="D479" s="165"/>
      <c r="E479" s="162"/>
      <c r="F479" s="166" t="str">
        <f t="shared" si="22"/>
        <v>-</v>
      </c>
      <c r="G479" s="68"/>
      <c r="H479" s="162"/>
      <c r="I479" s="173"/>
      <c r="J479" s="168" t="str">
        <f>IFERROR(MIN('MP Calculations'!$E$30/I479,1),"-")</f>
        <v>-</v>
      </c>
      <c r="K479" s="12"/>
      <c r="L479" s="159"/>
      <c r="M479" s="187"/>
      <c r="N479" s="187"/>
      <c r="O479" s="186" t="str">
        <f t="shared" si="23"/>
        <v>-</v>
      </c>
      <c r="P479" s="186" t="str">
        <f t="shared" si="24"/>
        <v>-</v>
      </c>
      <c r="Q479" s="215">
        <f>IF(P479="-",0,P479/(1+'General inputs'!$H$30)^'MP Calculations'!$C$40)</f>
        <v>0</v>
      </c>
    </row>
    <row r="480" spans="3:17">
      <c r="C480" s="159"/>
      <c r="D480" s="165"/>
      <c r="E480" s="162"/>
      <c r="F480" s="166" t="str">
        <f t="shared" si="22"/>
        <v>-</v>
      </c>
      <c r="G480" s="68"/>
      <c r="H480" s="162"/>
      <c r="I480" s="173"/>
      <c r="J480" s="168" t="str">
        <f>IFERROR(MIN('MP Calculations'!$E$30/I480,1),"-")</f>
        <v>-</v>
      </c>
      <c r="K480" s="12"/>
      <c r="L480" s="159"/>
      <c r="M480" s="187"/>
      <c r="N480" s="187"/>
      <c r="O480" s="186" t="str">
        <f t="shared" si="23"/>
        <v>-</v>
      </c>
      <c r="P480" s="186" t="str">
        <f t="shared" si="24"/>
        <v>-</v>
      </c>
      <c r="Q480" s="215">
        <f>IF(P480="-",0,P480/(1+'General inputs'!$H$30)^'MP Calculations'!$C$40)</f>
        <v>0</v>
      </c>
    </row>
    <row r="481" spans="3:17">
      <c r="C481" s="159"/>
      <c r="D481" s="165"/>
      <c r="E481" s="162"/>
      <c r="F481" s="166" t="str">
        <f t="shared" si="22"/>
        <v>-</v>
      </c>
      <c r="G481" s="68"/>
      <c r="H481" s="162"/>
      <c r="I481" s="173"/>
      <c r="J481" s="168" t="str">
        <f>IFERROR(MIN('MP Calculations'!$E$30/I481,1),"-")</f>
        <v>-</v>
      </c>
      <c r="K481" s="12"/>
      <c r="L481" s="159"/>
      <c r="M481" s="187"/>
      <c r="N481" s="187"/>
      <c r="O481" s="186" t="str">
        <f t="shared" si="23"/>
        <v>-</v>
      </c>
      <c r="P481" s="186" t="str">
        <f t="shared" si="24"/>
        <v>-</v>
      </c>
      <c r="Q481" s="215">
        <f>IF(P481="-",0,P481/(1+'General inputs'!$H$30)^'MP Calculations'!$C$40)</f>
        <v>0</v>
      </c>
    </row>
    <row r="482" spans="3:17">
      <c r="C482" s="159"/>
      <c r="D482" s="165"/>
      <c r="E482" s="162"/>
      <c r="F482" s="166" t="str">
        <f t="shared" si="22"/>
        <v>-</v>
      </c>
      <c r="G482" s="68"/>
      <c r="H482" s="162"/>
      <c r="I482" s="173"/>
      <c r="J482" s="168" t="str">
        <f>IFERROR(MIN('MP Calculations'!$E$30/I482,1),"-")</f>
        <v>-</v>
      </c>
      <c r="K482" s="12"/>
      <c r="L482" s="159"/>
      <c r="M482" s="187"/>
      <c r="N482" s="187"/>
      <c r="O482" s="186" t="str">
        <f t="shared" si="23"/>
        <v>-</v>
      </c>
      <c r="P482" s="186" t="str">
        <f t="shared" si="24"/>
        <v>-</v>
      </c>
      <c r="Q482" s="215">
        <f>IF(P482="-",0,P482/(1+'General inputs'!$H$30)^'MP Calculations'!$C$40)</f>
        <v>0</v>
      </c>
    </row>
    <row r="483" spans="3:17">
      <c r="C483" s="159"/>
      <c r="D483" s="165"/>
      <c r="E483" s="162"/>
      <c r="F483" s="166" t="str">
        <f t="shared" si="22"/>
        <v>-</v>
      </c>
      <c r="G483" s="68"/>
      <c r="H483" s="162"/>
      <c r="I483" s="173"/>
      <c r="J483" s="168" t="str">
        <f>IFERROR(MIN('MP Calculations'!$E$30/I483,1),"-")</f>
        <v>-</v>
      </c>
      <c r="K483" s="12"/>
      <c r="L483" s="159"/>
      <c r="M483" s="187"/>
      <c r="N483" s="187"/>
      <c r="O483" s="186" t="str">
        <f t="shared" si="23"/>
        <v>-</v>
      </c>
      <c r="P483" s="186" t="str">
        <f t="shared" si="24"/>
        <v>-</v>
      </c>
      <c r="Q483" s="215">
        <f>IF(P483="-",0,P483/(1+'General inputs'!$H$30)^'MP Calculations'!$C$40)</f>
        <v>0</v>
      </c>
    </row>
    <row r="484" spans="3:17">
      <c r="C484" s="159"/>
      <c r="D484" s="165"/>
      <c r="E484" s="162"/>
      <c r="F484" s="166" t="str">
        <f t="shared" si="22"/>
        <v>-</v>
      </c>
      <c r="G484" s="68"/>
      <c r="H484" s="162"/>
      <c r="I484" s="173"/>
      <c r="J484" s="168" t="str">
        <f>IFERROR(MIN('MP Calculations'!$E$30/I484,1),"-")</f>
        <v>-</v>
      </c>
      <c r="K484" s="12"/>
      <c r="L484" s="159"/>
      <c r="M484" s="187"/>
      <c r="N484" s="187"/>
      <c r="O484" s="186" t="str">
        <f t="shared" si="23"/>
        <v>-</v>
      </c>
      <c r="P484" s="186" t="str">
        <f t="shared" si="24"/>
        <v>-</v>
      </c>
      <c r="Q484" s="215">
        <f>IF(P484="-",0,P484/(1+'General inputs'!$H$30)^'MP Calculations'!$C$40)</f>
        <v>0</v>
      </c>
    </row>
    <row r="485" spans="3:17">
      <c r="C485" s="159"/>
      <c r="D485" s="165"/>
      <c r="E485" s="162"/>
      <c r="F485" s="166" t="str">
        <f t="shared" si="22"/>
        <v>-</v>
      </c>
      <c r="G485" s="68"/>
      <c r="H485" s="162"/>
      <c r="I485" s="173"/>
      <c r="J485" s="168" t="str">
        <f>IFERROR(MIN('MP Calculations'!$E$30/I485,1),"-")</f>
        <v>-</v>
      </c>
      <c r="K485" s="12"/>
      <c r="L485" s="159"/>
      <c r="M485" s="187"/>
      <c r="N485" s="187"/>
      <c r="O485" s="186" t="str">
        <f t="shared" si="23"/>
        <v>-</v>
      </c>
      <c r="P485" s="186" t="str">
        <f t="shared" si="24"/>
        <v>-</v>
      </c>
      <c r="Q485" s="215">
        <f>IF(P485="-",0,P485/(1+'General inputs'!$H$30)^'MP Calculations'!$C$40)</f>
        <v>0</v>
      </c>
    </row>
    <row r="486" spans="3:17">
      <c r="C486" s="159"/>
      <c r="D486" s="165"/>
      <c r="E486" s="162"/>
      <c r="F486" s="166" t="str">
        <f t="shared" si="22"/>
        <v>-</v>
      </c>
      <c r="G486" s="68"/>
      <c r="H486" s="162"/>
      <c r="I486" s="173"/>
      <c r="J486" s="168" t="str">
        <f>IFERROR(MIN('MP Calculations'!$E$30/I486,1),"-")</f>
        <v>-</v>
      </c>
      <c r="K486" s="12"/>
      <c r="L486" s="159"/>
      <c r="M486" s="187"/>
      <c r="N486" s="187"/>
      <c r="O486" s="186" t="str">
        <f t="shared" si="23"/>
        <v>-</v>
      </c>
      <c r="P486" s="186" t="str">
        <f t="shared" si="24"/>
        <v>-</v>
      </c>
      <c r="Q486" s="215">
        <f>IF(P486="-",0,P486/(1+'General inputs'!$H$30)^'MP Calculations'!$C$40)</f>
        <v>0</v>
      </c>
    </row>
    <row r="487" spans="3:17">
      <c r="C487" s="159"/>
      <c r="D487" s="165"/>
      <c r="E487" s="162"/>
      <c r="F487" s="166" t="str">
        <f t="shared" si="22"/>
        <v>-</v>
      </c>
      <c r="G487" s="68"/>
      <c r="H487" s="162"/>
      <c r="I487" s="173"/>
      <c r="J487" s="168" t="str">
        <f>IFERROR(MIN('MP Calculations'!$E$30/I487,1),"-")</f>
        <v>-</v>
      </c>
      <c r="K487" s="12"/>
      <c r="L487" s="159"/>
      <c r="M487" s="187"/>
      <c r="N487" s="187"/>
      <c r="O487" s="186" t="str">
        <f t="shared" si="23"/>
        <v>-</v>
      </c>
      <c r="P487" s="186" t="str">
        <f t="shared" si="24"/>
        <v>-</v>
      </c>
      <c r="Q487" s="215">
        <f>IF(P487="-",0,P487/(1+'General inputs'!$H$30)^'MP Calculations'!$C$40)</f>
        <v>0</v>
      </c>
    </row>
    <row r="488" spans="3:17">
      <c r="C488" s="159"/>
      <c r="D488" s="165"/>
      <c r="E488" s="162"/>
      <c r="F488" s="166" t="str">
        <f t="shared" si="22"/>
        <v>-</v>
      </c>
      <c r="G488" s="68"/>
      <c r="H488" s="162"/>
      <c r="I488" s="173"/>
      <c r="J488" s="168" t="str">
        <f>IFERROR(MIN('MP Calculations'!$E$30/I488,1),"-")</f>
        <v>-</v>
      </c>
      <c r="K488" s="12"/>
      <c r="L488" s="159"/>
      <c r="M488" s="187"/>
      <c r="N488" s="187"/>
      <c r="O488" s="186" t="str">
        <f t="shared" si="23"/>
        <v>-</v>
      </c>
      <c r="P488" s="186" t="str">
        <f t="shared" si="24"/>
        <v>-</v>
      </c>
      <c r="Q488" s="215">
        <f>IF(P488="-",0,P488/(1+'General inputs'!$H$30)^'MP Calculations'!$C$40)</f>
        <v>0</v>
      </c>
    </row>
    <row r="489" spans="3:17">
      <c r="C489" s="159"/>
      <c r="D489" s="165"/>
      <c r="E489" s="162"/>
      <c r="F489" s="166" t="str">
        <f t="shared" si="22"/>
        <v>-</v>
      </c>
      <c r="G489" s="68"/>
      <c r="H489" s="162"/>
      <c r="I489" s="173"/>
      <c r="J489" s="168" t="str">
        <f>IFERROR(MIN('MP Calculations'!$E$30/I489,1),"-")</f>
        <v>-</v>
      </c>
      <c r="K489" s="12"/>
      <c r="L489" s="159"/>
      <c r="M489" s="187"/>
      <c r="N489" s="187"/>
      <c r="O489" s="186" t="str">
        <f t="shared" si="23"/>
        <v>-</v>
      </c>
      <c r="P489" s="186" t="str">
        <f t="shared" si="24"/>
        <v>-</v>
      </c>
      <c r="Q489" s="215">
        <f>IF(P489="-",0,P489/(1+'General inputs'!$H$30)^'MP Calculations'!$C$40)</f>
        <v>0</v>
      </c>
    </row>
    <row r="490" spans="3:17">
      <c r="C490" s="159"/>
      <c r="D490" s="165"/>
      <c r="E490" s="162"/>
      <c r="F490" s="166" t="str">
        <f t="shared" si="22"/>
        <v>-</v>
      </c>
      <c r="G490" s="68"/>
      <c r="H490" s="162"/>
      <c r="I490" s="173"/>
      <c r="J490" s="168" t="str">
        <f>IFERROR(MIN('MP Calculations'!$E$30/I490,1),"-")</f>
        <v>-</v>
      </c>
      <c r="K490" s="12"/>
      <c r="L490" s="159"/>
      <c r="M490" s="187"/>
      <c r="N490" s="187"/>
      <c r="O490" s="186" t="str">
        <f t="shared" si="23"/>
        <v>-</v>
      </c>
      <c r="P490" s="186" t="str">
        <f t="shared" si="24"/>
        <v>-</v>
      </c>
      <c r="Q490" s="215">
        <f>IF(P490="-",0,P490/(1+'General inputs'!$H$30)^'MP Calculations'!$C$40)</f>
        <v>0</v>
      </c>
    </row>
    <row r="491" spans="3:17">
      <c r="C491" s="159"/>
      <c r="D491" s="165"/>
      <c r="E491" s="162"/>
      <c r="F491" s="166" t="str">
        <f t="shared" si="22"/>
        <v>-</v>
      </c>
      <c r="G491" s="68"/>
      <c r="H491" s="162"/>
      <c r="I491" s="173"/>
      <c r="J491" s="168" t="str">
        <f>IFERROR(MIN('MP Calculations'!$E$30/I491,1),"-")</f>
        <v>-</v>
      </c>
      <c r="K491" s="12"/>
      <c r="L491" s="159"/>
      <c r="M491" s="187"/>
      <c r="N491" s="187"/>
      <c r="O491" s="186" t="str">
        <f t="shared" si="23"/>
        <v>-</v>
      </c>
      <c r="P491" s="186" t="str">
        <f t="shared" si="24"/>
        <v>-</v>
      </c>
      <c r="Q491" s="215">
        <f>IF(P491="-",0,P491/(1+'General inputs'!$H$30)^'MP Calculations'!$C$40)</f>
        <v>0</v>
      </c>
    </row>
    <row r="492" spans="3:17">
      <c r="C492" s="159"/>
      <c r="D492" s="165"/>
      <c r="E492" s="162"/>
      <c r="F492" s="166" t="str">
        <f t="shared" si="22"/>
        <v>-</v>
      </c>
      <c r="G492" s="68"/>
      <c r="H492" s="162"/>
      <c r="I492" s="173"/>
      <c r="J492" s="168" t="str">
        <f>IFERROR(MIN('MP Calculations'!$E$30/I492,1),"-")</f>
        <v>-</v>
      </c>
      <c r="K492" s="12"/>
      <c r="L492" s="159"/>
      <c r="M492" s="187"/>
      <c r="N492" s="187"/>
      <c r="O492" s="186" t="str">
        <f t="shared" si="23"/>
        <v>-</v>
      </c>
      <c r="P492" s="186" t="str">
        <f t="shared" si="24"/>
        <v>-</v>
      </c>
      <c r="Q492" s="215">
        <f>IF(P492="-",0,P492/(1+'General inputs'!$H$30)^'MP Calculations'!$C$40)</f>
        <v>0</v>
      </c>
    </row>
    <row r="493" spans="3:17">
      <c r="C493" s="159"/>
      <c r="D493" s="165"/>
      <c r="E493" s="162"/>
      <c r="F493" s="166" t="str">
        <f t="shared" si="22"/>
        <v>-</v>
      </c>
      <c r="G493" s="68"/>
      <c r="H493" s="162"/>
      <c r="I493" s="173"/>
      <c r="J493" s="168" t="str">
        <f>IFERROR(MIN('MP Calculations'!$E$30/I493,1),"-")</f>
        <v>-</v>
      </c>
      <c r="K493" s="12"/>
      <c r="L493" s="159"/>
      <c r="M493" s="187"/>
      <c r="N493" s="187"/>
      <c r="O493" s="186" t="str">
        <f t="shared" si="23"/>
        <v>-</v>
      </c>
      <c r="P493" s="186" t="str">
        <f t="shared" si="24"/>
        <v>-</v>
      </c>
      <c r="Q493" s="215">
        <f>IF(P493="-",0,P493/(1+'General inputs'!$H$30)^'MP Calculations'!$C$40)</f>
        <v>0</v>
      </c>
    </row>
    <row r="494" spans="3:17">
      <c r="C494" s="159"/>
      <c r="D494" s="165"/>
      <c r="E494" s="162"/>
      <c r="F494" s="166" t="str">
        <f t="shared" si="22"/>
        <v>-</v>
      </c>
      <c r="G494" s="68"/>
      <c r="H494" s="162"/>
      <c r="I494" s="173"/>
      <c r="J494" s="168" t="str">
        <f>IFERROR(MIN('MP Calculations'!$E$30/I494,1),"-")</f>
        <v>-</v>
      </c>
      <c r="K494" s="12"/>
      <c r="L494" s="159"/>
      <c r="M494" s="187"/>
      <c r="N494" s="187"/>
      <c r="O494" s="186" t="str">
        <f t="shared" si="23"/>
        <v>-</v>
      </c>
      <c r="P494" s="186" t="str">
        <f t="shared" si="24"/>
        <v>-</v>
      </c>
      <c r="Q494" s="215">
        <f>IF(P494="-",0,P494/(1+'General inputs'!$H$30)^'MP Calculations'!$C$40)</f>
        <v>0</v>
      </c>
    </row>
    <row r="495" spans="3:17">
      <c r="C495" s="159"/>
      <c r="D495" s="165"/>
      <c r="E495" s="162"/>
      <c r="F495" s="166" t="str">
        <f t="shared" si="22"/>
        <v>-</v>
      </c>
      <c r="G495" s="68"/>
      <c r="H495" s="162"/>
      <c r="I495" s="173"/>
      <c r="J495" s="168" t="str">
        <f>IFERROR(MIN('MP Calculations'!$E$30/I495,1),"-")</f>
        <v>-</v>
      </c>
      <c r="K495" s="12"/>
      <c r="L495" s="159"/>
      <c r="M495" s="187"/>
      <c r="N495" s="187"/>
      <c r="O495" s="186" t="str">
        <f t="shared" si="23"/>
        <v>-</v>
      </c>
      <c r="P495" s="186" t="str">
        <f t="shared" si="24"/>
        <v>-</v>
      </c>
      <c r="Q495" s="215">
        <f>IF(P495="-",0,P495/(1+'General inputs'!$H$30)^'MP Calculations'!$C$40)</f>
        <v>0</v>
      </c>
    </row>
    <row r="496" spans="3:17">
      <c r="C496" s="159"/>
      <c r="D496" s="165"/>
      <c r="E496" s="162"/>
      <c r="F496" s="166" t="str">
        <f t="shared" si="22"/>
        <v>-</v>
      </c>
      <c r="G496" s="68"/>
      <c r="H496" s="162"/>
      <c r="I496" s="173"/>
      <c r="J496" s="168" t="str">
        <f>IFERROR(MIN('MP Calculations'!$E$30/I496,1),"-")</f>
        <v>-</v>
      </c>
      <c r="K496" s="12"/>
      <c r="L496" s="159"/>
      <c r="M496" s="187"/>
      <c r="N496" s="187"/>
      <c r="O496" s="186" t="str">
        <f t="shared" si="23"/>
        <v>-</v>
      </c>
      <c r="P496" s="186" t="str">
        <f t="shared" si="24"/>
        <v>-</v>
      </c>
      <c r="Q496" s="215">
        <f>IF(P496="-",0,P496/(1+'General inputs'!$H$30)^'MP Calculations'!$C$40)</f>
        <v>0</v>
      </c>
    </row>
    <row r="497" spans="3:17">
      <c r="C497" s="159"/>
      <c r="D497" s="165"/>
      <c r="E497" s="162"/>
      <c r="F497" s="166" t="str">
        <f t="shared" si="22"/>
        <v>-</v>
      </c>
      <c r="G497" s="68"/>
      <c r="H497" s="162"/>
      <c r="I497" s="173"/>
      <c r="J497" s="168" t="str">
        <f>IFERROR(MIN('MP Calculations'!$E$30/I497,1),"-")</f>
        <v>-</v>
      </c>
      <c r="K497" s="12"/>
      <c r="L497" s="159"/>
      <c r="M497" s="187"/>
      <c r="N497" s="187"/>
      <c r="O497" s="186" t="str">
        <f t="shared" si="23"/>
        <v>-</v>
      </c>
      <c r="P497" s="186" t="str">
        <f t="shared" si="24"/>
        <v>-</v>
      </c>
      <c r="Q497" s="215">
        <f>IF(P497="-",0,P497/(1+'General inputs'!$H$30)^'MP Calculations'!$C$40)</f>
        <v>0</v>
      </c>
    </row>
    <row r="498" spans="3:17">
      <c r="C498" s="159"/>
      <c r="D498" s="165"/>
      <c r="E498" s="162"/>
      <c r="F498" s="166" t="str">
        <f t="shared" si="22"/>
        <v>-</v>
      </c>
      <c r="G498" s="68"/>
      <c r="H498" s="162"/>
      <c r="I498" s="173"/>
      <c r="J498" s="168" t="str">
        <f>IFERROR(MIN('MP Calculations'!$E$30/I498,1),"-")</f>
        <v>-</v>
      </c>
      <c r="K498" s="12"/>
      <c r="L498" s="159"/>
      <c r="M498" s="187"/>
      <c r="N498" s="187"/>
      <c r="O498" s="186" t="str">
        <f t="shared" si="23"/>
        <v>-</v>
      </c>
      <c r="P498" s="186" t="str">
        <f t="shared" si="24"/>
        <v>-</v>
      </c>
      <c r="Q498" s="215">
        <f>IF(P498="-",0,P498/(1+'General inputs'!$H$30)^'MP Calculations'!$C$40)</f>
        <v>0</v>
      </c>
    </row>
    <row r="499" spans="3:17">
      <c r="C499" s="159"/>
      <c r="D499" s="165"/>
      <c r="E499" s="162"/>
      <c r="F499" s="166" t="str">
        <f t="shared" si="22"/>
        <v>-</v>
      </c>
      <c r="G499" s="68"/>
      <c r="H499" s="162"/>
      <c r="I499" s="173"/>
      <c r="J499" s="168" t="str">
        <f>IFERROR(MIN('MP Calculations'!$E$30/I499,1),"-")</f>
        <v>-</v>
      </c>
      <c r="K499" s="12"/>
      <c r="L499" s="159"/>
      <c r="M499" s="187"/>
      <c r="N499" s="187"/>
      <c r="O499" s="186" t="str">
        <f t="shared" si="23"/>
        <v>-</v>
      </c>
      <c r="P499" s="186" t="str">
        <f t="shared" si="24"/>
        <v>-</v>
      </c>
      <c r="Q499" s="215">
        <f>IF(P499="-",0,P499/(1+'General inputs'!$H$30)^'MP Calculations'!$C$40)</f>
        <v>0</v>
      </c>
    </row>
    <row r="500" spans="3:17">
      <c r="C500" s="159"/>
      <c r="D500" s="165"/>
      <c r="E500" s="162"/>
      <c r="F500" s="166" t="str">
        <f t="shared" si="22"/>
        <v>-</v>
      </c>
      <c r="G500" s="68"/>
      <c r="H500" s="162"/>
      <c r="I500" s="173"/>
      <c r="J500" s="168" t="str">
        <f>IFERROR(MIN('MP Calculations'!$E$30/I500,1),"-")</f>
        <v>-</v>
      </c>
      <c r="K500" s="12"/>
      <c r="L500" s="159"/>
      <c r="M500" s="187"/>
      <c r="N500" s="187"/>
      <c r="O500" s="186" t="str">
        <f t="shared" si="23"/>
        <v>-</v>
      </c>
      <c r="P500" s="186" t="str">
        <f t="shared" si="24"/>
        <v>-</v>
      </c>
      <c r="Q500" s="215">
        <f>IF(P500="-",0,P500/(1+'General inputs'!$H$30)^'MP Calculations'!$C$40)</f>
        <v>0</v>
      </c>
    </row>
    <row r="501" spans="3:17">
      <c r="C501" s="159"/>
      <c r="D501" s="165"/>
      <c r="E501" s="162"/>
      <c r="F501" s="166" t="str">
        <f t="shared" si="22"/>
        <v>-</v>
      </c>
      <c r="G501" s="68"/>
      <c r="H501" s="162"/>
      <c r="I501" s="173"/>
      <c r="J501" s="168" t="str">
        <f>IFERROR(MIN('MP Calculations'!$E$30/I501,1),"-")</f>
        <v>-</v>
      </c>
      <c r="K501" s="12"/>
      <c r="L501" s="159"/>
      <c r="M501" s="187"/>
      <c r="N501" s="187"/>
      <c r="O501" s="186" t="str">
        <f t="shared" si="23"/>
        <v>-</v>
      </c>
      <c r="P501" s="186" t="str">
        <f t="shared" si="24"/>
        <v>-</v>
      </c>
      <c r="Q501" s="215">
        <f>IF(P501="-",0,P501/(1+'General inputs'!$H$30)^'MP Calculations'!$C$40)</f>
        <v>0</v>
      </c>
    </row>
    <row r="502" spans="3:17">
      <c r="C502" s="159"/>
      <c r="D502" s="165"/>
      <c r="E502" s="162"/>
      <c r="F502" s="166" t="str">
        <f t="shared" si="22"/>
        <v>-</v>
      </c>
      <c r="G502" s="68"/>
      <c r="H502" s="162"/>
      <c r="I502" s="173"/>
      <c r="J502" s="168" t="str">
        <f>IFERROR(MIN('MP Calculations'!$E$30/I502,1),"-")</f>
        <v>-</v>
      </c>
      <c r="K502" s="12"/>
      <c r="L502" s="159"/>
      <c r="M502" s="187"/>
      <c r="N502" s="187"/>
      <c r="O502" s="186" t="str">
        <f t="shared" si="23"/>
        <v>-</v>
      </c>
      <c r="P502" s="186" t="str">
        <f t="shared" si="24"/>
        <v>-</v>
      </c>
      <c r="Q502" s="215">
        <f>IF(P502="-",0,P502/(1+'General inputs'!$H$30)^'MP Calculations'!$C$40)</f>
        <v>0</v>
      </c>
    </row>
    <row r="503" spans="3:17">
      <c r="C503" s="159"/>
      <c r="D503" s="165"/>
      <c r="E503" s="162"/>
      <c r="F503" s="166" t="str">
        <f t="shared" si="22"/>
        <v>-</v>
      </c>
      <c r="G503" s="68"/>
      <c r="H503" s="162"/>
      <c r="I503" s="173"/>
      <c r="J503" s="168" t="str">
        <f>IFERROR(MIN('MP Calculations'!$E$30/I503,1),"-")</f>
        <v>-</v>
      </c>
      <c r="K503" s="12"/>
      <c r="L503" s="159"/>
      <c r="M503" s="187"/>
      <c r="N503" s="187"/>
      <c r="O503" s="186" t="str">
        <f t="shared" si="23"/>
        <v>-</v>
      </c>
      <c r="P503" s="186" t="str">
        <f t="shared" si="24"/>
        <v>-</v>
      </c>
      <c r="Q503" s="215">
        <f>IF(P503="-",0,P503/(1+'General inputs'!$H$30)^'MP Calculations'!$C$40)</f>
        <v>0</v>
      </c>
    </row>
    <row r="504" spans="3:17">
      <c r="C504" s="159"/>
      <c r="D504" s="165"/>
      <c r="E504" s="162"/>
      <c r="F504" s="166" t="str">
        <f t="shared" si="22"/>
        <v>-</v>
      </c>
      <c r="G504" s="68"/>
      <c r="H504" s="162"/>
      <c r="I504" s="173"/>
      <c r="J504" s="168" t="str">
        <f>IFERROR(MIN('MP Calculations'!$E$30/I504,1),"-")</f>
        <v>-</v>
      </c>
      <c r="K504" s="12"/>
      <c r="L504" s="159"/>
      <c r="M504" s="187"/>
      <c r="N504" s="187"/>
      <c r="O504" s="186" t="str">
        <f t="shared" si="23"/>
        <v>-</v>
      </c>
      <c r="P504" s="186" t="str">
        <f t="shared" si="24"/>
        <v>-</v>
      </c>
      <c r="Q504" s="215">
        <f>IF(P504="-",0,P504/(1+'General inputs'!$H$30)^'MP Calculations'!$C$40)</f>
        <v>0</v>
      </c>
    </row>
    <row r="505" spans="3:17">
      <c r="C505" s="159"/>
      <c r="D505" s="165"/>
      <c r="E505" s="162"/>
      <c r="F505" s="166" t="str">
        <f t="shared" si="22"/>
        <v>-</v>
      </c>
      <c r="G505" s="68"/>
      <c r="H505" s="162"/>
      <c r="I505" s="173"/>
      <c r="J505" s="168" t="str">
        <f>IFERROR(MIN('MP Calculations'!$E$30/I505,1),"-")</f>
        <v>-</v>
      </c>
      <c r="K505" s="12"/>
      <c r="L505" s="159"/>
      <c r="M505" s="187"/>
      <c r="N505" s="187"/>
      <c r="O505" s="186" t="str">
        <f t="shared" si="23"/>
        <v>-</v>
      </c>
      <c r="P505" s="186" t="str">
        <f t="shared" si="24"/>
        <v>-</v>
      </c>
      <c r="Q505" s="215">
        <f>IF(P505="-",0,P505/(1+'General inputs'!$H$30)^'MP Calculations'!$C$40)</f>
        <v>0</v>
      </c>
    </row>
    <row r="506" spans="3:17">
      <c r="C506" s="159"/>
      <c r="D506" s="165"/>
      <c r="E506" s="162"/>
      <c r="F506" s="166" t="str">
        <f t="shared" si="22"/>
        <v>-</v>
      </c>
      <c r="G506" s="68"/>
      <c r="H506" s="162"/>
      <c r="I506" s="173"/>
      <c r="J506" s="168" t="str">
        <f>IFERROR(MIN('MP Calculations'!$E$30/I506,1),"-")</f>
        <v>-</v>
      </c>
      <c r="K506" s="12"/>
      <c r="L506" s="159"/>
      <c r="M506" s="187"/>
      <c r="N506" s="187"/>
      <c r="O506" s="186" t="str">
        <f t="shared" si="23"/>
        <v>-</v>
      </c>
      <c r="P506" s="186" t="str">
        <f t="shared" si="24"/>
        <v>-</v>
      </c>
      <c r="Q506" s="215">
        <f>IF(P506="-",0,P506/(1+'General inputs'!$H$30)^'MP Calculations'!$C$40)</f>
        <v>0</v>
      </c>
    </row>
    <row r="507" spans="3:17">
      <c r="C507" s="159"/>
      <c r="D507" s="165"/>
      <c r="E507" s="162"/>
      <c r="F507" s="166" t="str">
        <f t="shared" si="22"/>
        <v>-</v>
      </c>
      <c r="G507" s="68"/>
      <c r="H507" s="162"/>
      <c r="I507" s="173"/>
      <c r="J507" s="168" t="str">
        <f>IFERROR(MIN('MP Calculations'!$E$30/I507,1),"-")</f>
        <v>-</v>
      </c>
      <c r="K507" s="12"/>
      <c r="L507" s="159"/>
      <c r="M507" s="187"/>
      <c r="N507" s="187"/>
      <c r="O507" s="186" t="str">
        <f t="shared" si="23"/>
        <v>-</v>
      </c>
      <c r="P507" s="186" t="str">
        <f t="shared" si="24"/>
        <v>-</v>
      </c>
      <c r="Q507" s="215">
        <f>IF(P507="-",0,P507/(1+'General inputs'!$H$30)^'MP Calculations'!$C$40)</f>
        <v>0</v>
      </c>
    </row>
    <row r="508" spans="3:17">
      <c r="C508" s="159"/>
      <c r="D508" s="165"/>
      <c r="E508" s="162"/>
      <c r="F508" s="166" t="str">
        <f t="shared" si="22"/>
        <v>-</v>
      </c>
      <c r="G508" s="68"/>
      <c r="H508" s="162"/>
      <c r="I508" s="173"/>
      <c r="J508" s="168" t="str">
        <f>IFERROR(MIN('MP Calculations'!$E$30/I508,1),"-")</f>
        <v>-</v>
      </c>
      <c r="K508" s="12"/>
      <c r="L508" s="159"/>
      <c r="M508" s="187"/>
      <c r="N508" s="187"/>
      <c r="O508" s="186" t="str">
        <f t="shared" si="23"/>
        <v>-</v>
      </c>
      <c r="P508" s="186" t="str">
        <f t="shared" si="24"/>
        <v>-</v>
      </c>
      <c r="Q508" s="215">
        <f>IF(P508="-",0,P508/(1+'General inputs'!$H$30)^'MP Calculations'!$C$40)</f>
        <v>0</v>
      </c>
    </row>
    <row r="509" spans="3:17">
      <c r="C509" s="159"/>
      <c r="D509" s="165"/>
      <c r="E509" s="162"/>
      <c r="F509" s="166" t="str">
        <f t="shared" si="22"/>
        <v>-</v>
      </c>
      <c r="G509" s="68"/>
      <c r="H509" s="162"/>
      <c r="I509" s="173"/>
      <c r="J509" s="168" t="str">
        <f>IFERROR(MIN('MP Calculations'!$E$30/I509,1),"-")</f>
        <v>-</v>
      </c>
      <c r="K509" s="12"/>
      <c r="L509" s="159"/>
      <c r="M509" s="187"/>
      <c r="N509" s="187"/>
      <c r="O509" s="186" t="str">
        <f t="shared" si="23"/>
        <v>-</v>
      </c>
      <c r="P509" s="186" t="str">
        <f t="shared" si="24"/>
        <v>-</v>
      </c>
      <c r="Q509" s="215">
        <f>IF(P509="-",0,P509/(1+'General inputs'!$H$30)^'MP Calculations'!$C$40)</f>
        <v>0</v>
      </c>
    </row>
    <row r="510" spans="3:17">
      <c r="C510" s="159"/>
      <c r="D510" s="165"/>
      <c r="E510" s="162"/>
      <c r="F510" s="166" t="str">
        <f t="shared" si="22"/>
        <v>-</v>
      </c>
      <c r="G510" s="68"/>
      <c r="H510" s="162"/>
      <c r="I510" s="173"/>
      <c r="J510" s="168" t="str">
        <f>IFERROR(MIN('MP Calculations'!$E$30/I510,1),"-")</f>
        <v>-</v>
      </c>
      <c r="K510" s="12"/>
      <c r="L510" s="159"/>
      <c r="M510" s="187"/>
      <c r="N510" s="187"/>
      <c r="O510" s="186" t="str">
        <f t="shared" si="23"/>
        <v>-</v>
      </c>
      <c r="P510" s="186" t="str">
        <f t="shared" si="24"/>
        <v>-</v>
      </c>
      <c r="Q510" s="215">
        <f>IF(P510="-",0,P510/(1+'General inputs'!$H$30)^'MP Calculations'!$C$40)</f>
        <v>0</v>
      </c>
    </row>
    <row r="511" spans="3:17">
      <c r="C511" s="159"/>
      <c r="D511" s="165"/>
      <c r="E511" s="162"/>
      <c r="F511" s="166" t="str">
        <f t="shared" si="22"/>
        <v>-</v>
      </c>
      <c r="G511" s="68"/>
      <c r="H511" s="162"/>
      <c r="I511" s="173"/>
      <c r="J511" s="168" t="str">
        <f>IFERROR(MIN('MP Calculations'!$E$30/I511,1),"-")</f>
        <v>-</v>
      </c>
      <c r="K511" s="12"/>
      <c r="L511" s="159"/>
      <c r="M511" s="187"/>
      <c r="N511" s="187"/>
      <c r="O511" s="186" t="str">
        <f t="shared" si="23"/>
        <v>-</v>
      </c>
      <c r="P511" s="186" t="str">
        <f t="shared" si="24"/>
        <v>-</v>
      </c>
      <c r="Q511" s="215">
        <f>IF(P511="-",0,P511/(1+'General inputs'!$H$30)^'MP Calculations'!$C$40)</f>
        <v>0</v>
      </c>
    </row>
    <row r="512" spans="3:17">
      <c r="C512" s="159"/>
      <c r="D512" s="165"/>
      <c r="E512" s="162"/>
      <c r="F512" s="166" t="str">
        <f t="shared" si="22"/>
        <v>-</v>
      </c>
      <c r="G512" s="68"/>
      <c r="H512" s="162"/>
      <c r="I512" s="173"/>
      <c r="J512" s="168" t="str">
        <f>IFERROR(MIN('MP Calculations'!$E$30/I512,1),"-")</f>
        <v>-</v>
      </c>
      <c r="K512" s="12"/>
      <c r="L512" s="159"/>
      <c r="M512" s="187"/>
      <c r="N512" s="187"/>
      <c r="O512" s="186" t="str">
        <f t="shared" si="23"/>
        <v>-</v>
      </c>
      <c r="P512" s="186" t="str">
        <f t="shared" si="24"/>
        <v>-</v>
      </c>
      <c r="Q512" s="215">
        <f>IF(P512="-",0,P512/(1+'General inputs'!$H$30)^'MP Calculations'!$C$40)</f>
        <v>0</v>
      </c>
    </row>
    <row r="513" spans="3:17">
      <c r="C513" s="159"/>
      <c r="D513" s="165"/>
      <c r="E513" s="162"/>
      <c r="F513" s="166" t="str">
        <f t="shared" si="22"/>
        <v>-</v>
      </c>
      <c r="G513" s="68"/>
      <c r="H513" s="162"/>
      <c r="I513" s="173"/>
      <c r="J513" s="168" t="str">
        <f>IFERROR(MIN('MP Calculations'!$E$30/I513,1),"-")</f>
        <v>-</v>
      </c>
      <c r="K513" s="12"/>
      <c r="L513" s="159"/>
      <c r="M513" s="187"/>
      <c r="N513" s="187"/>
      <c r="O513" s="186" t="str">
        <f t="shared" si="23"/>
        <v>-</v>
      </c>
      <c r="P513" s="186" t="str">
        <f t="shared" si="24"/>
        <v>-</v>
      </c>
      <c r="Q513" s="215">
        <f>IF(P513="-",0,P513/(1+'General inputs'!$H$30)^'MP Calculations'!$C$40)</f>
        <v>0</v>
      </c>
    </row>
    <row r="514" spans="3:17">
      <c r="C514" s="159"/>
      <c r="D514" s="165"/>
      <c r="E514" s="162"/>
      <c r="F514" s="166" t="str">
        <f t="shared" si="22"/>
        <v>-</v>
      </c>
      <c r="G514" s="68"/>
      <c r="H514" s="162"/>
      <c r="I514" s="173"/>
      <c r="J514" s="168" t="str">
        <f>IFERROR(MIN('MP Calculations'!$E$30/I514,1),"-")</f>
        <v>-</v>
      </c>
      <c r="K514" s="12"/>
      <c r="L514" s="159"/>
      <c r="M514" s="187"/>
      <c r="N514" s="187"/>
      <c r="O514" s="186" t="str">
        <f t="shared" si="23"/>
        <v>-</v>
      </c>
      <c r="P514" s="186" t="str">
        <f t="shared" si="24"/>
        <v>-</v>
      </c>
      <c r="Q514" s="215">
        <f>IF(P514="-",0,P514/(1+'General inputs'!$H$30)^'MP Calculations'!$C$40)</f>
        <v>0</v>
      </c>
    </row>
    <row r="515" spans="3:17">
      <c r="C515" s="159"/>
      <c r="D515" s="165"/>
      <c r="E515" s="162"/>
      <c r="F515" s="166" t="str">
        <f t="shared" si="22"/>
        <v>-</v>
      </c>
      <c r="G515" s="68"/>
      <c r="H515" s="162"/>
      <c r="I515" s="173"/>
      <c r="J515" s="168" t="str">
        <f>IFERROR(MIN('MP Calculations'!$E$30/I515,1),"-")</f>
        <v>-</v>
      </c>
      <c r="K515" s="12"/>
      <c r="L515" s="159"/>
      <c r="M515" s="187"/>
      <c r="N515" s="187"/>
      <c r="O515" s="186" t="str">
        <f t="shared" si="23"/>
        <v>-</v>
      </c>
      <c r="P515" s="186" t="str">
        <f t="shared" si="24"/>
        <v>-</v>
      </c>
      <c r="Q515" s="215">
        <f>IF(P515="-",0,P515/(1+'General inputs'!$H$30)^'MP Calculations'!$C$40)</f>
        <v>0</v>
      </c>
    </row>
    <row r="516" spans="3:17">
      <c r="C516" s="159"/>
      <c r="D516" s="165"/>
      <c r="E516" s="162"/>
      <c r="F516" s="166" t="str">
        <f t="shared" si="22"/>
        <v>-</v>
      </c>
      <c r="G516" s="68"/>
      <c r="H516" s="162"/>
      <c r="I516" s="173"/>
      <c r="J516" s="168" t="str">
        <f>IFERROR(MIN('MP Calculations'!$E$30/I516,1),"-")</f>
        <v>-</v>
      </c>
      <c r="K516" s="12"/>
      <c r="L516" s="159"/>
      <c r="M516" s="187"/>
      <c r="N516" s="187"/>
      <c r="O516" s="186" t="str">
        <f t="shared" si="23"/>
        <v>-</v>
      </c>
      <c r="P516" s="186" t="str">
        <f t="shared" si="24"/>
        <v>-</v>
      </c>
      <c r="Q516" s="215">
        <f>IF(P516="-",0,P516/(1+'General inputs'!$H$30)^'MP Calculations'!$C$40)</f>
        <v>0</v>
      </c>
    </row>
    <row r="517" spans="3:17">
      <c r="C517" s="159"/>
      <c r="D517" s="165"/>
      <c r="E517" s="162"/>
      <c r="F517" s="166" t="str">
        <f t="shared" si="22"/>
        <v>-</v>
      </c>
      <c r="G517" s="68"/>
      <c r="H517" s="162"/>
      <c r="I517" s="173"/>
      <c r="J517" s="168" t="str">
        <f>IFERROR(MIN('MP Calculations'!$E$30/I517,1),"-")</f>
        <v>-</v>
      </c>
      <c r="K517" s="12"/>
      <c r="L517" s="159"/>
      <c r="M517" s="187"/>
      <c r="N517" s="187"/>
      <c r="O517" s="186" t="str">
        <f t="shared" si="23"/>
        <v>-</v>
      </c>
      <c r="P517" s="186" t="str">
        <f t="shared" si="24"/>
        <v>-</v>
      </c>
      <c r="Q517" s="215">
        <f>IF(P517="-",0,P517/(1+'General inputs'!$H$30)^'MP Calculations'!$C$40)</f>
        <v>0</v>
      </c>
    </row>
    <row r="518" spans="3:17">
      <c r="C518" s="159"/>
      <c r="D518" s="165"/>
      <c r="E518" s="162"/>
      <c r="F518" s="166" t="str">
        <f t="shared" si="22"/>
        <v>-</v>
      </c>
      <c r="G518" s="68"/>
      <c r="H518" s="162"/>
      <c r="I518" s="173"/>
      <c r="J518" s="168" t="str">
        <f>IFERROR(MIN('MP Calculations'!$E$30/I518,1),"-")</f>
        <v>-</v>
      </c>
      <c r="K518" s="12"/>
      <c r="L518" s="159"/>
      <c r="M518" s="187"/>
      <c r="N518" s="187"/>
      <c r="O518" s="186" t="str">
        <f t="shared" si="23"/>
        <v>-</v>
      </c>
      <c r="P518" s="186" t="str">
        <f t="shared" si="24"/>
        <v>-</v>
      </c>
      <c r="Q518" s="215">
        <f>IF(P518="-",0,P518/(1+'General inputs'!$H$30)^'MP Calculations'!$C$40)</f>
        <v>0</v>
      </c>
    </row>
    <row r="519" spans="3:17">
      <c r="C519" s="159"/>
      <c r="D519" s="165"/>
      <c r="E519" s="162"/>
      <c r="F519" s="166" t="str">
        <f t="shared" si="22"/>
        <v>-</v>
      </c>
      <c r="G519" s="68"/>
      <c r="H519" s="162"/>
      <c r="I519" s="173"/>
      <c r="J519" s="168" t="str">
        <f>IFERROR(MIN('MP Calculations'!$E$30/I519,1),"-")</f>
        <v>-</v>
      </c>
      <c r="K519" s="12"/>
      <c r="L519" s="159"/>
      <c r="M519" s="187"/>
      <c r="N519" s="187"/>
      <c r="O519" s="186" t="str">
        <f t="shared" si="23"/>
        <v>-</v>
      </c>
      <c r="P519" s="186" t="str">
        <f t="shared" si="24"/>
        <v>-</v>
      </c>
      <c r="Q519" s="215">
        <f>IF(P519="-",0,P519/(1+'General inputs'!$H$30)^'MP Calculations'!$C$40)</f>
        <v>0</v>
      </c>
    </row>
    <row r="520" spans="3:17">
      <c r="C520" s="159"/>
      <c r="D520" s="165"/>
      <c r="E520" s="162"/>
      <c r="F520" s="166" t="str">
        <f t="shared" si="22"/>
        <v>-</v>
      </c>
      <c r="G520" s="68"/>
      <c r="H520" s="162"/>
      <c r="I520" s="173"/>
      <c r="J520" s="168" t="str">
        <f>IFERROR(MIN('MP Calculations'!$E$30/I520,1),"-")</f>
        <v>-</v>
      </c>
      <c r="K520" s="12"/>
      <c r="L520" s="159"/>
      <c r="M520" s="187"/>
      <c r="N520" s="187"/>
      <c r="O520" s="186" t="str">
        <f t="shared" si="23"/>
        <v>-</v>
      </c>
      <c r="P520" s="186" t="str">
        <f t="shared" si="24"/>
        <v>-</v>
      </c>
      <c r="Q520" s="215">
        <f>IF(P520="-",0,P520/(1+'General inputs'!$H$30)^'MP Calculations'!$C$40)</f>
        <v>0</v>
      </c>
    </row>
    <row r="521" spans="3:17">
      <c r="C521" s="159"/>
      <c r="D521" s="165"/>
      <c r="E521" s="162"/>
      <c r="F521" s="166" t="str">
        <f t="shared" si="22"/>
        <v>-</v>
      </c>
      <c r="G521" s="68"/>
      <c r="H521" s="162"/>
      <c r="I521" s="173"/>
      <c r="J521" s="168" t="str">
        <f>IFERROR(MIN('MP Calculations'!$E$30/I521,1),"-")</f>
        <v>-</v>
      </c>
      <c r="K521" s="12"/>
      <c r="L521" s="159"/>
      <c r="M521" s="187"/>
      <c r="N521" s="187"/>
      <c r="O521" s="186" t="str">
        <f t="shared" si="23"/>
        <v>-</v>
      </c>
      <c r="P521" s="186" t="str">
        <f t="shared" si="24"/>
        <v>-</v>
      </c>
      <c r="Q521" s="215">
        <f>IF(P521="-",0,P521/(1+'General inputs'!$H$30)^'MP Calculations'!$C$40)</f>
        <v>0</v>
      </c>
    </row>
    <row r="522" spans="3:17">
      <c r="C522" s="159"/>
      <c r="D522" s="165"/>
      <c r="E522" s="162"/>
      <c r="F522" s="166" t="str">
        <f t="shared" si="22"/>
        <v>-</v>
      </c>
      <c r="G522" s="68"/>
      <c r="H522" s="162"/>
      <c r="I522" s="173"/>
      <c r="J522" s="168" t="str">
        <f>IFERROR(MIN('MP Calculations'!$E$30/I522,1),"-")</f>
        <v>-</v>
      </c>
      <c r="K522" s="12"/>
      <c r="L522" s="159"/>
      <c r="M522" s="187"/>
      <c r="N522" s="187"/>
      <c r="O522" s="186" t="str">
        <f t="shared" si="23"/>
        <v>-</v>
      </c>
      <c r="P522" s="186" t="str">
        <f t="shared" si="24"/>
        <v>-</v>
      </c>
      <c r="Q522" s="215">
        <f>IF(P522="-",0,P522/(1+'General inputs'!$H$30)^'MP Calculations'!$C$40)</f>
        <v>0</v>
      </c>
    </row>
    <row r="523" spans="3:17">
      <c r="C523" s="159"/>
      <c r="D523" s="165"/>
      <c r="E523" s="162"/>
      <c r="F523" s="166" t="str">
        <f t="shared" si="22"/>
        <v>-</v>
      </c>
      <c r="G523" s="68"/>
      <c r="H523" s="162"/>
      <c r="I523" s="173"/>
      <c r="J523" s="168" t="str">
        <f>IFERROR(MIN('MP Calculations'!$E$30/I523,1),"-")</f>
        <v>-</v>
      </c>
      <c r="K523" s="12"/>
      <c r="L523" s="159"/>
      <c r="M523" s="187"/>
      <c r="N523" s="187"/>
      <c r="O523" s="186" t="str">
        <f t="shared" si="23"/>
        <v>-</v>
      </c>
      <c r="P523" s="186" t="str">
        <f t="shared" si="24"/>
        <v>-</v>
      </c>
      <c r="Q523" s="215">
        <f>IF(P523="-",0,P523/(1+'General inputs'!$H$30)^'MP Calculations'!$C$40)</f>
        <v>0</v>
      </c>
    </row>
    <row r="524" spans="3:17">
      <c r="C524" s="159"/>
      <c r="D524" s="165"/>
      <c r="E524" s="162"/>
      <c r="F524" s="166" t="str">
        <f t="shared" si="22"/>
        <v>-</v>
      </c>
      <c r="G524" s="68"/>
      <c r="H524" s="162"/>
      <c r="I524" s="173"/>
      <c r="J524" s="168" t="str">
        <f>IFERROR(MIN('MP Calculations'!$E$30/I524,1),"-")</f>
        <v>-</v>
      </c>
      <c r="K524" s="12"/>
      <c r="L524" s="159"/>
      <c r="M524" s="187"/>
      <c r="N524" s="187"/>
      <c r="O524" s="186" t="str">
        <f t="shared" si="23"/>
        <v>-</v>
      </c>
      <c r="P524" s="186" t="str">
        <f t="shared" si="24"/>
        <v>-</v>
      </c>
      <c r="Q524" s="215">
        <f>IF(P524="-",0,P524/(1+'General inputs'!$H$30)^'MP Calculations'!$C$40)</f>
        <v>0</v>
      </c>
    </row>
    <row r="525" spans="3:17">
      <c r="C525" s="159"/>
      <c r="D525" s="165"/>
      <c r="E525" s="162"/>
      <c r="F525" s="166" t="str">
        <f t="shared" si="22"/>
        <v>-</v>
      </c>
      <c r="G525" s="68"/>
      <c r="H525" s="162"/>
      <c r="I525" s="173"/>
      <c r="J525" s="168" t="str">
        <f>IFERROR(MIN('MP Calculations'!$E$30/I525,1),"-")</f>
        <v>-</v>
      </c>
      <c r="K525" s="12"/>
      <c r="L525" s="159"/>
      <c r="M525" s="187"/>
      <c r="N525" s="187"/>
      <c r="O525" s="186" t="str">
        <f t="shared" si="23"/>
        <v>-</v>
      </c>
      <c r="P525" s="186" t="str">
        <f t="shared" si="24"/>
        <v>-</v>
      </c>
      <c r="Q525" s="215">
        <f>IF(P525="-",0,P525/(1+'General inputs'!$H$30)^'MP Calculations'!$C$40)</f>
        <v>0</v>
      </c>
    </row>
    <row r="526" spans="3:17">
      <c r="C526" s="159"/>
      <c r="D526" s="165"/>
      <c r="E526" s="162"/>
      <c r="F526" s="166" t="str">
        <f t="shared" si="22"/>
        <v>-</v>
      </c>
      <c r="G526" s="68"/>
      <c r="H526" s="162"/>
      <c r="I526" s="173"/>
      <c r="J526" s="168" t="str">
        <f>IFERROR(MIN('MP Calculations'!$E$30/I526,1),"-")</f>
        <v>-</v>
      </c>
      <c r="K526" s="12"/>
      <c r="L526" s="159"/>
      <c r="M526" s="187"/>
      <c r="N526" s="187"/>
      <c r="O526" s="186" t="str">
        <f t="shared" si="23"/>
        <v>-</v>
      </c>
      <c r="P526" s="186" t="str">
        <f t="shared" si="24"/>
        <v>-</v>
      </c>
      <c r="Q526" s="215">
        <f>IF(P526="-",0,P526/(1+'General inputs'!$H$30)^'MP Calculations'!$C$40)</f>
        <v>0</v>
      </c>
    </row>
    <row r="527" spans="3:17">
      <c r="C527" s="159"/>
      <c r="D527" s="165"/>
      <c r="E527" s="162"/>
      <c r="F527" s="166" t="str">
        <f t="shared" si="22"/>
        <v>-</v>
      </c>
      <c r="G527" s="68"/>
      <c r="H527" s="162"/>
      <c r="I527" s="173"/>
      <c r="J527" s="168" t="str">
        <f>IFERROR(MIN('MP Calculations'!$E$30/I527,1),"-")</f>
        <v>-</v>
      </c>
      <c r="K527" s="12"/>
      <c r="L527" s="159"/>
      <c r="M527" s="187"/>
      <c r="N527" s="187"/>
      <c r="O527" s="186" t="str">
        <f t="shared" si="23"/>
        <v>-</v>
      </c>
      <c r="P527" s="186" t="str">
        <f t="shared" si="24"/>
        <v>-</v>
      </c>
      <c r="Q527" s="215">
        <f>IF(P527="-",0,P527/(1+'General inputs'!$H$30)^'MP Calculations'!$C$40)</f>
        <v>0</v>
      </c>
    </row>
    <row r="528" spans="3:17">
      <c r="C528" s="159"/>
      <c r="D528" s="165"/>
      <c r="E528" s="162"/>
      <c r="F528" s="166" t="str">
        <f t="shared" si="22"/>
        <v>-</v>
      </c>
      <c r="G528" s="68"/>
      <c r="H528" s="162"/>
      <c r="I528" s="173"/>
      <c r="J528" s="168" t="str">
        <f>IFERROR(MIN('MP Calculations'!$E$30/I528,1),"-")</f>
        <v>-</v>
      </c>
      <c r="K528" s="12"/>
      <c r="L528" s="159"/>
      <c r="M528" s="187"/>
      <c r="N528" s="187"/>
      <c r="O528" s="186" t="str">
        <f t="shared" si="23"/>
        <v>-</v>
      </c>
      <c r="P528" s="186" t="str">
        <f t="shared" si="24"/>
        <v>-</v>
      </c>
      <c r="Q528" s="215">
        <f>IF(P528="-",0,P528/(1+'General inputs'!$H$30)^'MP Calculations'!$C$40)</f>
        <v>0</v>
      </c>
    </row>
    <row r="529" spans="3:17">
      <c r="C529" s="159"/>
      <c r="D529" s="165"/>
      <c r="E529" s="162"/>
      <c r="F529" s="166" t="str">
        <f t="shared" si="22"/>
        <v>-</v>
      </c>
      <c r="G529" s="68"/>
      <c r="H529" s="162"/>
      <c r="I529" s="173"/>
      <c r="J529" s="168" t="str">
        <f>IFERROR(MIN('MP Calculations'!$E$30/I529,1),"-")</f>
        <v>-</v>
      </c>
      <c r="K529" s="12"/>
      <c r="L529" s="159"/>
      <c r="M529" s="187"/>
      <c r="N529" s="187"/>
      <c r="O529" s="186" t="str">
        <f t="shared" si="23"/>
        <v>-</v>
      </c>
      <c r="P529" s="186" t="str">
        <f t="shared" si="24"/>
        <v>-</v>
      </c>
      <c r="Q529" s="215">
        <f>IF(P529="-",0,P529/(1+'General inputs'!$H$30)^'MP Calculations'!$C$40)</f>
        <v>0</v>
      </c>
    </row>
    <row r="530" spans="3:17">
      <c r="C530" s="159"/>
      <c r="D530" s="165"/>
      <c r="E530" s="162"/>
      <c r="F530" s="166" t="str">
        <f t="shared" si="22"/>
        <v>-</v>
      </c>
      <c r="G530" s="68"/>
      <c r="H530" s="162"/>
      <c r="I530" s="173"/>
      <c r="J530" s="168" t="str">
        <f>IFERROR(MIN('MP Calculations'!$E$30/I530,1),"-")</f>
        <v>-</v>
      </c>
      <c r="K530" s="12"/>
      <c r="L530" s="159"/>
      <c r="M530" s="187"/>
      <c r="N530" s="187"/>
      <c r="O530" s="186" t="str">
        <f t="shared" si="23"/>
        <v>-</v>
      </c>
      <c r="P530" s="186" t="str">
        <f t="shared" si="24"/>
        <v>-</v>
      </c>
      <c r="Q530" s="215">
        <f>IF(P530="-",0,P530/(1+'General inputs'!$H$30)^'MP Calculations'!$C$40)</f>
        <v>0</v>
      </c>
    </row>
    <row r="531" spans="3:17">
      <c r="C531" s="159"/>
      <c r="D531" s="165"/>
      <c r="E531" s="162"/>
      <c r="F531" s="166" t="str">
        <f t="shared" si="22"/>
        <v>-</v>
      </c>
      <c r="G531" s="68"/>
      <c r="H531" s="162"/>
      <c r="I531" s="173"/>
      <c r="J531" s="168" t="str">
        <f>IFERROR(MIN('MP Calculations'!$E$30/I531,1),"-")</f>
        <v>-</v>
      </c>
      <c r="K531" s="12"/>
      <c r="L531" s="159"/>
      <c r="M531" s="187"/>
      <c r="N531" s="187"/>
      <c r="O531" s="186" t="str">
        <f t="shared" si="23"/>
        <v>-</v>
      </c>
      <c r="P531" s="186" t="str">
        <f t="shared" si="24"/>
        <v>-</v>
      </c>
      <c r="Q531" s="215">
        <f>IF(P531="-",0,P531/(1+'General inputs'!$H$30)^'MP Calculations'!$C$40)</f>
        <v>0</v>
      </c>
    </row>
    <row r="532" spans="3:17">
      <c r="C532" s="159"/>
      <c r="D532" s="165"/>
      <c r="E532" s="162"/>
      <c r="F532" s="166" t="str">
        <f t="shared" si="22"/>
        <v>-</v>
      </c>
      <c r="G532" s="68"/>
      <c r="H532" s="162"/>
      <c r="I532" s="173"/>
      <c r="J532" s="168" t="str">
        <f>IFERROR(MIN('MP Calculations'!$E$30/I532,1),"-")</f>
        <v>-</v>
      </c>
      <c r="K532" s="12"/>
      <c r="L532" s="159"/>
      <c r="M532" s="187"/>
      <c r="N532" s="187"/>
      <c r="O532" s="186" t="str">
        <f t="shared" si="23"/>
        <v>-</v>
      </c>
      <c r="P532" s="186" t="str">
        <f t="shared" si="24"/>
        <v>-</v>
      </c>
      <c r="Q532" s="215">
        <f>IF(P532="-",0,P532/(1+'General inputs'!$H$30)^'MP Calculations'!$C$40)</f>
        <v>0</v>
      </c>
    </row>
    <row r="533" spans="3:17">
      <c r="C533" s="159"/>
      <c r="D533" s="165"/>
      <c r="E533" s="162"/>
      <c r="F533" s="166" t="str">
        <f t="shared" si="22"/>
        <v>-</v>
      </c>
      <c r="G533" s="68"/>
      <c r="H533" s="162"/>
      <c r="I533" s="173"/>
      <c r="J533" s="168" t="str">
        <f>IFERROR(MIN('MP Calculations'!$E$30/I533,1),"-")</f>
        <v>-</v>
      </c>
      <c r="K533" s="12"/>
      <c r="L533" s="159"/>
      <c r="M533" s="187"/>
      <c r="N533" s="187"/>
      <c r="O533" s="186" t="str">
        <f t="shared" si="23"/>
        <v>-</v>
      </c>
      <c r="P533" s="186" t="str">
        <f t="shared" si="24"/>
        <v>-</v>
      </c>
      <c r="Q533" s="215">
        <f>IF(P533="-",0,P533/(1+'General inputs'!$H$30)^'MP Calculations'!$C$40)</f>
        <v>0</v>
      </c>
    </row>
    <row r="534" spans="3:17">
      <c r="C534" s="159"/>
      <c r="D534" s="165"/>
      <c r="E534" s="162"/>
      <c r="F534" s="166" t="str">
        <f t="shared" si="22"/>
        <v>-</v>
      </c>
      <c r="G534" s="68"/>
      <c r="H534" s="162"/>
      <c r="I534" s="173"/>
      <c r="J534" s="168" t="str">
        <f>IFERROR(MIN('MP Calculations'!$E$30/I534,1),"-")</f>
        <v>-</v>
      </c>
      <c r="K534" s="12"/>
      <c r="L534" s="159"/>
      <c r="M534" s="187"/>
      <c r="N534" s="187"/>
      <c r="O534" s="186" t="str">
        <f t="shared" si="23"/>
        <v>-</v>
      </c>
      <c r="P534" s="186" t="str">
        <f t="shared" si="24"/>
        <v>-</v>
      </c>
      <c r="Q534" s="215">
        <f>IF(P534="-",0,P534/(1+'General inputs'!$H$30)^'MP Calculations'!$C$40)</f>
        <v>0</v>
      </c>
    </row>
    <row r="535" spans="3:17">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7"/>
      <c r="N535" s="187"/>
      <c r="O535" s="186" t="str">
        <f t="shared" ref="O535:O598" si="26">IF(N535="","-",L535*N535)</f>
        <v>-</v>
      </c>
      <c r="P535" s="186" t="str">
        <f t="shared" ref="P535:P598" si="27">IF(O535="-","-",IF(OR(E535&lt;$E$15,E535&gt;$E$16),0,O535*J535))</f>
        <v>-</v>
      </c>
      <c r="Q535" s="215">
        <f>IF(P535="-",0,P535/(1+'General inputs'!$H$30)^'MP Calculations'!$C$40)</f>
        <v>0</v>
      </c>
    </row>
    <row r="536" spans="3:17">
      <c r="C536" s="159"/>
      <c r="D536" s="165"/>
      <c r="E536" s="162"/>
      <c r="F536" s="166" t="str">
        <f t="shared" si="25"/>
        <v>-</v>
      </c>
      <c r="G536" s="68"/>
      <c r="H536" s="162"/>
      <c r="I536" s="173"/>
      <c r="J536" s="168" t="str">
        <f>IFERROR(MIN('MP Calculations'!$E$30/I536,1),"-")</f>
        <v>-</v>
      </c>
      <c r="K536" s="12"/>
      <c r="L536" s="159"/>
      <c r="M536" s="187"/>
      <c r="N536" s="187"/>
      <c r="O536" s="186" t="str">
        <f t="shared" si="26"/>
        <v>-</v>
      </c>
      <c r="P536" s="186" t="str">
        <f t="shared" si="27"/>
        <v>-</v>
      </c>
      <c r="Q536" s="215">
        <f>IF(P536="-",0,P536/(1+'General inputs'!$H$30)^'MP Calculations'!$C$40)</f>
        <v>0</v>
      </c>
    </row>
    <row r="537" spans="3:17">
      <c r="C537" s="159"/>
      <c r="D537" s="165"/>
      <c r="E537" s="162"/>
      <c r="F537" s="166" t="str">
        <f t="shared" si="25"/>
        <v>-</v>
      </c>
      <c r="G537" s="68"/>
      <c r="H537" s="162"/>
      <c r="I537" s="173"/>
      <c r="J537" s="168" t="str">
        <f>IFERROR(MIN('MP Calculations'!$E$30/I537,1),"-")</f>
        <v>-</v>
      </c>
      <c r="K537" s="12"/>
      <c r="L537" s="159"/>
      <c r="M537" s="187"/>
      <c r="N537" s="187"/>
      <c r="O537" s="186" t="str">
        <f t="shared" si="26"/>
        <v>-</v>
      </c>
      <c r="P537" s="186" t="str">
        <f t="shared" si="27"/>
        <v>-</v>
      </c>
      <c r="Q537" s="215">
        <f>IF(P537="-",0,P537/(1+'General inputs'!$H$30)^'MP Calculations'!$C$40)</f>
        <v>0</v>
      </c>
    </row>
    <row r="538" spans="3:17">
      <c r="C538" s="159"/>
      <c r="D538" s="165"/>
      <c r="E538" s="162"/>
      <c r="F538" s="166" t="str">
        <f t="shared" si="25"/>
        <v>-</v>
      </c>
      <c r="G538" s="68"/>
      <c r="H538" s="162"/>
      <c r="I538" s="173"/>
      <c r="J538" s="168" t="str">
        <f>IFERROR(MIN('MP Calculations'!$E$30/I538,1),"-")</f>
        <v>-</v>
      </c>
      <c r="K538" s="12"/>
      <c r="L538" s="159"/>
      <c r="M538" s="187"/>
      <c r="N538" s="187"/>
      <c r="O538" s="186" t="str">
        <f t="shared" si="26"/>
        <v>-</v>
      </c>
      <c r="P538" s="186" t="str">
        <f t="shared" si="27"/>
        <v>-</v>
      </c>
      <c r="Q538" s="215">
        <f>IF(P538="-",0,P538/(1+'General inputs'!$H$30)^'MP Calculations'!$C$40)</f>
        <v>0</v>
      </c>
    </row>
    <row r="539" spans="3:17">
      <c r="C539" s="159"/>
      <c r="D539" s="165"/>
      <c r="E539" s="162"/>
      <c r="F539" s="166" t="str">
        <f t="shared" si="25"/>
        <v>-</v>
      </c>
      <c r="G539" s="68"/>
      <c r="H539" s="162"/>
      <c r="I539" s="173"/>
      <c r="J539" s="168" t="str">
        <f>IFERROR(MIN('MP Calculations'!$E$30/I539,1),"-")</f>
        <v>-</v>
      </c>
      <c r="K539" s="12"/>
      <c r="L539" s="159"/>
      <c r="M539" s="187"/>
      <c r="N539" s="187"/>
      <c r="O539" s="186" t="str">
        <f t="shared" si="26"/>
        <v>-</v>
      </c>
      <c r="P539" s="186" t="str">
        <f t="shared" si="27"/>
        <v>-</v>
      </c>
      <c r="Q539" s="215">
        <f>IF(P539="-",0,P539/(1+'General inputs'!$H$30)^'MP Calculations'!$C$40)</f>
        <v>0</v>
      </c>
    </row>
    <row r="540" spans="3:17">
      <c r="C540" s="159"/>
      <c r="D540" s="165"/>
      <c r="E540" s="162"/>
      <c r="F540" s="166" t="str">
        <f t="shared" si="25"/>
        <v>-</v>
      </c>
      <c r="G540" s="68"/>
      <c r="H540" s="162"/>
      <c r="I540" s="173"/>
      <c r="J540" s="168" t="str">
        <f>IFERROR(MIN('MP Calculations'!$E$30/I540,1),"-")</f>
        <v>-</v>
      </c>
      <c r="K540" s="12"/>
      <c r="L540" s="159"/>
      <c r="M540" s="187"/>
      <c r="N540" s="187"/>
      <c r="O540" s="186" t="str">
        <f t="shared" si="26"/>
        <v>-</v>
      </c>
      <c r="P540" s="186" t="str">
        <f t="shared" si="27"/>
        <v>-</v>
      </c>
      <c r="Q540" s="215">
        <f>IF(P540="-",0,P540/(1+'General inputs'!$H$30)^'MP Calculations'!$C$40)</f>
        <v>0</v>
      </c>
    </row>
    <row r="541" spans="3:17">
      <c r="C541" s="159"/>
      <c r="D541" s="165"/>
      <c r="E541" s="162"/>
      <c r="F541" s="166" t="str">
        <f t="shared" si="25"/>
        <v>-</v>
      </c>
      <c r="G541" s="68"/>
      <c r="H541" s="162"/>
      <c r="I541" s="173"/>
      <c r="J541" s="168" t="str">
        <f>IFERROR(MIN('MP Calculations'!$E$30/I541,1),"-")</f>
        <v>-</v>
      </c>
      <c r="K541" s="12"/>
      <c r="L541" s="159"/>
      <c r="M541" s="187"/>
      <c r="N541" s="187"/>
      <c r="O541" s="186" t="str">
        <f t="shared" si="26"/>
        <v>-</v>
      </c>
      <c r="P541" s="186" t="str">
        <f t="shared" si="27"/>
        <v>-</v>
      </c>
      <c r="Q541" s="215">
        <f>IF(P541="-",0,P541/(1+'General inputs'!$H$30)^'MP Calculations'!$C$40)</f>
        <v>0</v>
      </c>
    </row>
    <row r="542" spans="3:17">
      <c r="C542" s="159"/>
      <c r="D542" s="165"/>
      <c r="E542" s="162"/>
      <c r="F542" s="166" t="str">
        <f t="shared" si="25"/>
        <v>-</v>
      </c>
      <c r="G542" s="68"/>
      <c r="H542" s="162"/>
      <c r="I542" s="173"/>
      <c r="J542" s="168" t="str">
        <f>IFERROR(MIN('MP Calculations'!$E$30/I542,1),"-")</f>
        <v>-</v>
      </c>
      <c r="K542" s="12"/>
      <c r="L542" s="159"/>
      <c r="M542" s="187"/>
      <c r="N542" s="187"/>
      <c r="O542" s="186" t="str">
        <f t="shared" si="26"/>
        <v>-</v>
      </c>
      <c r="P542" s="186" t="str">
        <f t="shared" si="27"/>
        <v>-</v>
      </c>
      <c r="Q542" s="215">
        <f>IF(P542="-",0,P542/(1+'General inputs'!$H$30)^'MP Calculations'!$C$40)</f>
        <v>0</v>
      </c>
    </row>
    <row r="543" spans="3:17">
      <c r="C543" s="159"/>
      <c r="D543" s="165"/>
      <c r="E543" s="162"/>
      <c r="F543" s="166" t="str">
        <f t="shared" si="25"/>
        <v>-</v>
      </c>
      <c r="G543" s="68"/>
      <c r="H543" s="162"/>
      <c r="I543" s="173"/>
      <c r="J543" s="168" t="str">
        <f>IFERROR(MIN('MP Calculations'!$E$30/I543,1),"-")</f>
        <v>-</v>
      </c>
      <c r="K543" s="12"/>
      <c r="L543" s="159"/>
      <c r="M543" s="187"/>
      <c r="N543" s="187"/>
      <c r="O543" s="186" t="str">
        <f t="shared" si="26"/>
        <v>-</v>
      </c>
      <c r="P543" s="186" t="str">
        <f t="shared" si="27"/>
        <v>-</v>
      </c>
      <c r="Q543" s="215">
        <f>IF(P543="-",0,P543/(1+'General inputs'!$H$30)^'MP Calculations'!$C$40)</f>
        <v>0</v>
      </c>
    </row>
    <row r="544" spans="3:17">
      <c r="C544" s="159"/>
      <c r="D544" s="165"/>
      <c r="E544" s="162"/>
      <c r="F544" s="166" t="str">
        <f t="shared" si="25"/>
        <v>-</v>
      </c>
      <c r="G544" s="68"/>
      <c r="H544" s="162"/>
      <c r="I544" s="173"/>
      <c r="J544" s="168" t="str">
        <f>IFERROR(MIN('MP Calculations'!$E$30/I544,1),"-")</f>
        <v>-</v>
      </c>
      <c r="K544" s="12"/>
      <c r="L544" s="159"/>
      <c r="M544" s="187"/>
      <c r="N544" s="187"/>
      <c r="O544" s="186" t="str">
        <f t="shared" si="26"/>
        <v>-</v>
      </c>
      <c r="P544" s="186" t="str">
        <f t="shared" si="27"/>
        <v>-</v>
      </c>
      <c r="Q544" s="215">
        <f>IF(P544="-",0,P544/(1+'General inputs'!$H$30)^'MP Calculations'!$C$40)</f>
        <v>0</v>
      </c>
    </row>
    <row r="545" spans="3:17">
      <c r="C545" s="159"/>
      <c r="D545" s="165"/>
      <c r="E545" s="162"/>
      <c r="F545" s="166" t="str">
        <f t="shared" si="25"/>
        <v>-</v>
      </c>
      <c r="G545" s="68"/>
      <c r="H545" s="162"/>
      <c r="I545" s="173"/>
      <c r="J545" s="168" t="str">
        <f>IFERROR(MIN('MP Calculations'!$E$30/I545,1),"-")</f>
        <v>-</v>
      </c>
      <c r="K545" s="12"/>
      <c r="L545" s="159"/>
      <c r="M545" s="187"/>
      <c r="N545" s="187"/>
      <c r="O545" s="186" t="str">
        <f t="shared" si="26"/>
        <v>-</v>
      </c>
      <c r="P545" s="186" t="str">
        <f t="shared" si="27"/>
        <v>-</v>
      </c>
      <c r="Q545" s="215">
        <f>IF(P545="-",0,P545/(1+'General inputs'!$H$30)^'MP Calculations'!$C$40)</f>
        <v>0</v>
      </c>
    </row>
    <row r="546" spans="3:17">
      <c r="C546" s="159"/>
      <c r="D546" s="165"/>
      <c r="E546" s="162"/>
      <c r="F546" s="166" t="str">
        <f t="shared" si="25"/>
        <v>-</v>
      </c>
      <c r="G546" s="68"/>
      <c r="H546" s="162"/>
      <c r="I546" s="173"/>
      <c r="J546" s="168" t="str">
        <f>IFERROR(MIN('MP Calculations'!$E$30/I546,1),"-")</f>
        <v>-</v>
      </c>
      <c r="K546" s="12"/>
      <c r="L546" s="159"/>
      <c r="M546" s="187"/>
      <c r="N546" s="187"/>
      <c r="O546" s="186" t="str">
        <f t="shared" si="26"/>
        <v>-</v>
      </c>
      <c r="P546" s="186" t="str">
        <f t="shared" si="27"/>
        <v>-</v>
      </c>
      <c r="Q546" s="215">
        <f>IF(P546="-",0,P546/(1+'General inputs'!$H$30)^'MP Calculations'!$C$40)</f>
        <v>0</v>
      </c>
    </row>
    <row r="547" spans="3:17">
      <c r="C547" s="159"/>
      <c r="D547" s="165"/>
      <c r="E547" s="162"/>
      <c r="F547" s="166" t="str">
        <f t="shared" si="25"/>
        <v>-</v>
      </c>
      <c r="G547" s="68"/>
      <c r="H547" s="162"/>
      <c r="I547" s="173"/>
      <c r="J547" s="168" t="str">
        <f>IFERROR(MIN('MP Calculations'!$E$30/I547,1),"-")</f>
        <v>-</v>
      </c>
      <c r="K547" s="12"/>
      <c r="L547" s="159"/>
      <c r="M547" s="187"/>
      <c r="N547" s="187"/>
      <c r="O547" s="186" t="str">
        <f t="shared" si="26"/>
        <v>-</v>
      </c>
      <c r="P547" s="186" t="str">
        <f t="shared" si="27"/>
        <v>-</v>
      </c>
      <c r="Q547" s="215">
        <f>IF(P547="-",0,P547/(1+'General inputs'!$H$30)^'MP Calculations'!$C$40)</f>
        <v>0</v>
      </c>
    </row>
    <row r="548" spans="3:17">
      <c r="C548" s="159"/>
      <c r="D548" s="165"/>
      <c r="E548" s="162"/>
      <c r="F548" s="166" t="str">
        <f t="shared" si="25"/>
        <v>-</v>
      </c>
      <c r="G548" s="68"/>
      <c r="H548" s="162"/>
      <c r="I548" s="173"/>
      <c r="J548" s="168" t="str">
        <f>IFERROR(MIN('MP Calculations'!$E$30/I548,1),"-")</f>
        <v>-</v>
      </c>
      <c r="K548" s="12"/>
      <c r="L548" s="159"/>
      <c r="M548" s="187"/>
      <c r="N548" s="187"/>
      <c r="O548" s="186" t="str">
        <f t="shared" si="26"/>
        <v>-</v>
      </c>
      <c r="P548" s="186" t="str">
        <f t="shared" si="27"/>
        <v>-</v>
      </c>
      <c r="Q548" s="215">
        <f>IF(P548="-",0,P548/(1+'General inputs'!$H$30)^'MP Calculations'!$C$40)</f>
        <v>0</v>
      </c>
    </row>
    <row r="549" spans="3:17">
      <c r="C549" s="159"/>
      <c r="D549" s="165"/>
      <c r="E549" s="162"/>
      <c r="F549" s="166" t="str">
        <f t="shared" si="25"/>
        <v>-</v>
      </c>
      <c r="G549" s="68"/>
      <c r="H549" s="162"/>
      <c r="I549" s="173"/>
      <c r="J549" s="168" t="str">
        <f>IFERROR(MIN('MP Calculations'!$E$30/I549,1),"-")</f>
        <v>-</v>
      </c>
      <c r="K549" s="12"/>
      <c r="L549" s="159"/>
      <c r="M549" s="187"/>
      <c r="N549" s="187"/>
      <c r="O549" s="186" t="str">
        <f t="shared" si="26"/>
        <v>-</v>
      </c>
      <c r="P549" s="186" t="str">
        <f t="shared" si="27"/>
        <v>-</v>
      </c>
      <c r="Q549" s="215">
        <f>IF(P549="-",0,P549/(1+'General inputs'!$H$30)^'MP Calculations'!$C$40)</f>
        <v>0</v>
      </c>
    </row>
    <row r="550" spans="3:17">
      <c r="C550" s="159"/>
      <c r="D550" s="165"/>
      <c r="E550" s="162"/>
      <c r="F550" s="166" t="str">
        <f t="shared" si="25"/>
        <v>-</v>
      </c>
      <c r="G550" s="68"/>
      <c r="H550" s="162"/>
      <c r="I550" s="173"/>
      <c r="J550" s="168" t="str">
        <f>IFERROR(MIN('MP Calculations'!$E$30/I550,1),"-")</f>
        <v>-</v>
      </c>
      <c r="K550" s="12"/>
      <c r="L550" s="159"/>
      <c r="M550" s="187"/>
      <c r="N550" s="187"/>
      <c r="O550" s="186" t="str">
        <f t="shared" si="26"/>
        <v>-</v>
      </c>
      <c r="P550" s="186" t="str">
        <f t="shared" si="27"/>
        <v>-</v>
      </c>
      <c r="Q550" s="215">
        <f>IF(P550="-",0,P550/(1+'General inputs'!$H$30)^'MP Calculations'!$C$40)</f>
        <v>0</v>
      </c>
    </row>
    <row r="551" spans="3:17">
      <c r="C551" s="159"/>
      <c r="D551" s="165"/>
      <c r="E551" s="162"/>
      <c r="F551" s="166" t="str">
        <f t="shared" si="25"/>
        <v>-</v>
      </c>
      <c r="G551" s="68"/>
      <c r="H551" s="162"/>
      <c r="I551" s="173"/>
      <c r="J551" s="168" t="str">
        <f>IFERROR(MIN('MP Calculations'!$E$30/I551,1),"-")</f>
        <v>-</v>
      </c>
      <c r="K551" s="12"/>
      <c r="L551" s="159"/>
      <c r="M551" s="187"/>
      <c r="N551" s="187"/>
      <c r="O551" s="186" t="str">
        <f t="shared" si="26"/>
        <v>-</v>
      </c>
      <c r="P551" s="186" t="str">
        <f t="shared" si="27"/>
        <v>-</v>
      </c>
      <c r="Q551" s="215">
        <f>IF(P551="-",0,P551/(1+'General inputs'!$H$30)^'MP Calculations'!$C$40)</f>
        <v>0</v>
      </c>
    </row>
    <row r="552" spans="3:17">
      <c r="C552" s="159"/>
      <c r="D552" s="165"/>
      <c r="E552" s="162"/>
      <c r="F552" s="166" t="str">
        <f t="shared" si="25"/>
        <v>-</v>
      </c>
      <c r="G552" s="68"/>
      <c r="H552" s="162"/>
      <c r="I552" s="173"/>
      <c r="J552" s="168" t="str">
        <f>IFERROR(MIN('MP Calculations'!$E$30/I552,1),"-")</f>
        <v>-</v>
      </c>
      <c r="K552" s="12"/>
      <c r="L552" s="159"/>
      <c r="M552" s="187"/>
      <c r="N552" s="187"/>
      <c r="O552" s="186" t="str">
        <f t="shared" si="26"/>
        <v>-</v>
      </c>
      <c r="P552" s="186" t="str">
        <f t="shared" si="27"/>
        <v>-</v>
      </c>
      <c r="Q552" s="215">
        <f>IF(P552="-",0,P552/(1+'General inputs'!$H$30)^'MP Calculations'!$C$40)</f>
        <v>0</v>
      </c>
    </row>
    <row r="553" spans="3:17">
      <c r="C553" s="159"/>
      <c r="D553" s="165"/>
      <c r="E553" s="162"/>
      <c r="F553" s="166" t="str">
        <f t="shared" si="25"/>
        <v>-</v>
      </c>
      <c r="G553" s="68"/>
      <c r="H553" s="162"/>
      <c r="I553" s="173"/>
      <c r="J553" s="168" t="str">
        <f>IFERROR(MIN('MP Calculations'!$E$30/I553,1),"-")</f>
        <v>-</v>
      </c>
      <c r="K553" s="12"/>
      <c r="L553" s="159"/>
      <c r="M553" s="187"/>
      <c r="N553" s="187"/>
      <c r="O553" s="186" t="str">
        <f t="shared" si="26"/>
        <v>-</v>
      </c>
      <c r="P553" s="186" t="str">
        <f t="shared" si="27"/>
        <v>-</v>
      </c>
      <c r="Q553" s="215">
        <f>IF(P553="-",0,P553/(1+'General inputs'!$H$30)^'MP Calculations'!$C$40)</f>
        <v>0</v>
      </c>
    </row>
    <row r="554" spans="3:17">
      <c r="C554" s="159"/>
      <c r="D554" s="165"/>
      <c r="E554" s="162"/>
      <c r="F554" s="166" t="str">
        <f t="shared" si="25"/>
        <v>-</v>
      </c>
      <c r="G554" s="68"/>
      <c r="H554" s="162"/>
      <c r="I554" s="173"/>
      <c r="J554" s="168" t="str">
        <f>IFERROR(MIN('MP Calculations'!$E$30/I554,1),"-")</f>
        <v>-</v>
      </c>
      <c r="K554" s="12"/>
      <c r="L554" s="159"/>
      <c r="M554" s="187"/>
      <c r="N554" s="187"/>
      <c r="O554" s="186" t="str">
        <f t="shared" si="26"/>
        <v>-</v>
      </c>
      <c r="P554" s="186" t="str">
        <f t="shared" si="27"/>
        <v>-</v>
      </c>
      <c r="Q554" s="215">
        <f>IF(P554="-",0,P554/(1+'General inputs'!$H$30)^'MP Calculations'!$C$40)</f>
        <v>0</v>
      </c>
    </row>
    <row r="555" spans="3:17">
      <c r="C555" s="159"/>
      <c r="D555" s="165"/>
      <c r="E555" s="162"/>
      <c r="F555" s="166" t="str">
        <f t="shared" si="25"/>
        <v>-</v>
      </c>
      <c r="G555" s="68"/>
      <c r="H555" s="162"/>
      <c r="I555" s="173"/>
      <c r="J555" s="168" t="str">
        <f>IFERROR(MIN('MP Calculations'!$E$30/I555,1),"-")</f>
        <v>-</v>
      </c>
      <c r="K555" s="12"/>
      <c r="L555" s="159"/>
      <c r="M555" s="187"/>
      <c r="N555" s="187"/>
      <c r="O555" s="186" t="str">
        <f t="shared" si="26"/>
        <v>-</v>
      </c>
      <c r="P555" s="186" t="str">
        <f t="shared" si="27"/>
        <v>-</v>
      </c>
      <c r="Q555" s="215">
        <f>IF(P555="-",0,P555/(1+'General inputs'!$H$30)^'MP Calculations'!$C$40)</f>
        <v>0</v>
      </c>
    </row>
    <row r="556" spans="3:17">
      <c r="C556" s="159"/>
      <c r="D556" s="165"/>
      <c r="E556" s="162"/>
      <c r="F556" s="166" t="str">
        <f t="shared" si="25"/>
        <v>-</v>
      </c>
      <c r="G556" s="68"/>
      <c r="H556" s="162"/>
      <c r="I556" s="173"/>
      <c r="J556" s="168" t="str">
        <f>IFERROR(MIN('MP Calculations'!$E$30/I556,1),"-")</f>
        <v>-</v>
      </c>
      <c r="K556" s="12"/>
      <c r="L556" s="159"/>
      <c r="M556" s="187"/>
      <c r="N556" s="187"/>
      <c r="O556" s="186" t="str">
        <f t="shared" si="26"/>
        <v>-</v>
      </c>
      <c r="P556" s="186" t="str">
        <f t="shared" si="27"/>
        <v>-</v>
      </c>
      <c r="Q556" s="215">
        <f>IF(P556="-",0,P556/(1+'General inputs'!$H$30)^'MP Calculations'!$C$40)</f>
        <v>0</v>
      </c>
    </row>
    <row r="557" spans="3:17">
      <c r="C557" s="159"/>
      <c r="D557" s="165"/>
      <c r="E557" s="162"/>
      <c r="F557" s="166" t="str">
        <f t="shared" si="25"/>
        <v>-</v>
      </c>
      <c r="G557" s="68"/>
      <c r="H557" s="162"/>
      <c r="I557" s="173"/>
      <c r="J557" s="168" t="str">
        <f>IFERROR(MIN('MP Calculations'!$E$30/I557,1),"-")</f>
        <v>-</v>
      </c>
      <c r="K557" s="12"/>
      <c r="L557" s="159"/>
      <c r="M557" s="187"/>
      <c r="N557" s="187"/>
      <c r="O557" s="186" t="str">
        <f t="shared" si="26"/>
        <v>-</v>
      </c>
      <c r="P557" s="186" t="str">
        <f t="shared" si="27"/>
        <v>-</v>
      </c>
      <c r="Q557" s="215">
        <f>IF(P557="-",0,P557/(1+'General inputs'!$H$30)^'MP Calculations'!$C$40)</f>
        <v>0</v>
      </c>
    </row>
    <row r="558" spans="3:17">
      <c r="C558" s="159"/>
      <c r="D558" s="165"/>
      <c r="E558" s="162"/>
      <c r="F558" s="166" t="str">
        <f t="shared" si="25"/>
        <v>-</v>
      </c>
      <c r="G558" s="68"/>
      <c r="H558" s="162"/>
      <c r="I558" s="173"/>
      <c r="J558" s="168" t="str">
        <f>IFERROR(MIN('MP Calculations'!$E$30/I558,1),"-")</f>
        <v>-</v>
      </c>
      <c r="K558" s="12"/>
      <c r="L558" s="159"/>
      <c r="M558" s="187"/>
      <c r="N558" s="187"/>
      <c r="O558" s="186" t="str">
        <f t="shared" si="26"/>
        <v>-</v>
      </c>
      <c r="P558" s="186" t="str">
        <f t="shared" si="27"/>
        <v>-</v>
      </c>
      <c r="Q558" s="215">
        <f>IF(P558="-",0,P558/(1+'General inputs'!$H$30)^'MP Calculations'!$C$40)</f>
        <v>0</v>
      </c>
    </row>
    <row r="559" spans="3:17">
      <c r="C559" s="159"/>
      <c r="D559" s="165"/>
      <c r="E559" s="162"/>
      <c r="F559" s="166" t="str">
        <f t="shared" si="25"/>
        <v>-</v>
      </c>
      <c r="G559" s="68"/>
      <c r="H559" s="162"/>
      <c r="I559" s="173"/>
      <c r="J559" s="168" t="str">
        <f>IFERROR(MIN('MP Calculations'!$E$30/I559,1),"-")</f>
        <v>-</v>
      </c>
      <c r="K559" s="12"/>
      <c r="L559" s="159"/>
      <c r="M559" s="187"/>
      <c r="N559" s="187"/>
      <c r="O559" s="186" t="str">
        <f t="shared" si="26"/>
        <v>-</v>
      </c>
      <c r="P559" s="186" t="str">
        <f t="shared" si="27"/>
        <v>-</v>
      </c>
      <c r="Q559" s="215">
        <f>IF(P559="-",0,P559/(1+'General inputs'!$H$30)^'MP Calculations'!$C$40)</f>
        <v>0</v>
      </c>
    </row>
    <row r="560" spans="3:17">
      <c r="C560" s="159"/>
      <c r="D560" s="165"/>
      <c r="E560" s="162"/>
      <c r="F560" s="166" t="str">
        <f t="shared" si="25"/>
        <v>-</v>
      </c>
      <c r="G560" s="68"/>
      <c r="H560" s="162"/>
      <c r="I560" s="173"/>
      <c r="J560" s="168" t="str">
        <f>IFERROR(MIN('MP Calculations'!$E$30/I560,1),"-")</f>
        <v>-</v>
      </c>
      <c r="K560" s="12"/>
      <c r="L560" s="159"/>
      <c r="M560" s="187"/>
      <c r="N560" s="187"/>
      <c r="O560" s="186" t="str">
        <f t="shared" si="26"/>
        <v>-</v>
      </c>
      <c r="P560" s="186" t="str">
        <f t="shared" si="27"/>
        <v>-</v>
      </c>
      <c r="Q560" s="215">
        <f>IF(P560="-",0,P560/(1+'General inputs'!$H$30)^'MP Calculations'!$C$40)</f>
        <v>0</v>
      </c>
    </row>
    <row r="561" spans="3:17">
      <c r="C561" s="159"/>
      <c r="D561" s="165"/>
      <c r="E561" s="162"/>
      <c r="F561" s="166" t="str">
        <f t="shared" si="25"/>
        <v>-</v>
      </c>
      <c r="G561" s="68"/>
      <c r="H561" s="162"/>
      <c r="I561" s="173"/>
      <c r="J561" s="168" t="str">
        <f>IFERROR(MIN('MP Calculations'!$E$30/I561,1),"-")</f>
        <v>-</v>
      </c>
      <c r="K561" s="12"/>
      <c r="L561" s="159"/>
      <c r="M561" s="187"/>
      <c r="N561" s="187"/>
      <c r="O561" s="186" t="str">
        <f t="shared" si="26"/>
        <v>-</v>
      </c>
      <c r="P561" s="186" t="str">
        <f t="shared" si="27"/>
        <v>-</v>
      </c>
      <c r="Q561" s="215">
        <f>IF(P561="-",0,P561/(1+'General inputs'!$H$30)^'MP Calculations'!$C$40)</f>
        <v>0</v>
      </c>
    </row>
    <row r="562" spans="3:17">
      <c r="C562" s="159"/>
      <c r="D562" s="165"/>
      <c r="E562" s="162"/>
      <c r="F562" s="166" t="str">
        <f t="shared" si="25"/>
        <v>-</v>
      </c>
      <c r="G562" s="68"/>
      <c r="H562" s="162"/>
      <c r="I562" s="173"/>
      <c r="J562" s="168" t="str">
        <f>IFERROR(MIN('MP Calculations'!$E$30/I562,1),"-")</f>
        <v>-</v>
      </c>
      <c r="K562" s="12"/>
      <c r="L562" s="159"/>
      <c r="M562" s="187"/>
      <c r="N562" s="187"/>
      <c r="O562" s="186" t="str">
        <f t="shared" si="26"/>
        <v>-</v>
      </c>
      <c r="P562" s="186" t="str">
        <f t="shared" si="27"/>
        <v>-</v>
      </c>
      <c r="Q562" s="215">
        <f>IF(P562="-",0,P562/(1+'General inputs'!$H$30)^'MP Calculations'!$C$40)</f>
        <v>0</v>
      </c>
    </row>
    <row r="563" spans="3:17">
      <c r="C563" s="159"/>
      <c r="D563" s="165"/>
      <c r="E563" s="162"/>
      <c r="F563" s="166" t="str">
        <f t="shared" si="25"/>
        <v>-</v>
      </c>
      <c r="G563" s="68"/>
      <c r="H563" s="162"/>
      <c r="I563" s="173"/>
      <c r="J563" s="168" t="str">
        <f>IFERROR(MIN('MP Calculations'!$E$30/I563,1),"-")</f>
        <v>-</v>
      </c>
      <c r="K563" s="12"/>
      <c r="L563" s="159"/>
      <c r="M563" s="187"/>
      <c r="N563" s="187"/>
      <c r="O563" s="186" t="str">
        <f t="shared" si="26"/>
        <v>-</v>
      </c>
      <c r="P563" s="186" t="str">
        <f t="shared" si="27"/>
        <v>-</v>
      </c>
      <c r="Q563" s="215">
        <f>IF(P563="-",0,P563/(1+'General inputs'!$H$30)^'MP Calculations'!$C$40)</f>
        <v>0</v>
      </c>
    </row>
    <row r="564" spans="3:17">
      <c r="C564" s="159"/>
      <c r="D564" s="165"/>
      <c r="E564" s="162"/>
      <c r="F564" s="166" t="str">
        <f t="shared" si="25"/>
        <v>-</v>
      </c>
      <c r="G564" s="68"/>
      <c r="H564" s="162"/>
      <c r="I564" s="173"/>
      <c r="J564" s="168" t="str">
        <f>IFERROR(MIN('MP Calculations'!$E$30/I564,1),"-")</f>
        <v>-</v>
      </c>
      <c r="K564" s="12"/>
      <c r="L564" s="159"/>
      <c r="M564" s="187"/>
      <c r="N564" s="187"/>
      <c r="O564" s="186" t="str">
        <f t="shared" si="26"/>
        <v>-</v>
      </c>
      <c r="P564" s="186" t="str">
        <f t="shared" si="27"/>
        <v>-</v>
      </c>
      <c r="Q564" s="215">
        <f>IF(P564="-",0,P564/(1+'General inputs'!$H$30)^'MP Calculations'!$C$40)</f>
        <v>0</v>
      </c>
    </row>
    <row r="565" spans="3:17">
      <c r="C565" s="159"/>
      <c r="D565" s="165"/>
      <c r="E565" s="162"/>
      <c r="F565" s="166" t="str">
        <f t="shared" si="25"/>
        <v>-</v>
      </c>
      <c r="G565" s="68"/>
      <c r="H565" s="162"/>
      <c r="I565" s="173"/>
      <c r="J565" s="168" t="str">
        <f>IFERROR(MIN('MP Calculations'!$E$30/I565,1),"-")</f>
        <v>-</v>
      </c>
      <c r="K565" s="12"/>
      <c r="L565" s="159"/>
      <c r="M565" s="187"/>
      <c r="N565" s="187"/>
      <c r="O565" s="186" t="str">
        <f t="shared" si="26"/>
        <v>-</v>
      </c>
      <c r="P565" s="186" t="str">
        <f t="shared" si="27"/>
        <v>-</v>
      </c>
      <c r="Q565" s="215">
        <f>IF(P565="-",0,P565/(1+'General inputs'!$H$30)^'MP Calculations'!$C$40)</f>
        <v>0</v>
      </c>
    </row>
    <row r="566" spans="3:17">
      <c r="C566" s="159"/>
      <c r="D566" s="165"/>
      <c r="E566" s="162"/>
      <c r="F566" s="166" t="str">
        <f t="shared" si="25"/>
        <v>-</v>
      </c>
      <c r="G566" s="68"/>
      <c r="H566" s="162"/>
      <c r="I566" s="173"/>
      <c r="J566" s="168" t="str">
        <f>IFERROR(MIN('MP Calculations'!$E$30/I566,1),"-")</f>
        <v>-</v>
      </c>
      <c r="K566" s="12"/>
      <c r="L566" s="159"/>
      <c r="M566" s="187"/>
      <c r="N566" s="187"/>
      <c r="O566" s="186" t="str">
        <f t="shared" si="26"/>
        <v>-</v>
      </c>
      <c r="P566" s="186" t="str">
        <f t="shared" si="27"/>
        <v>-</v>
      </c>
      <c r="Q566" s="215">
        <f>IF(P566="-",0,P566/(1+'General inputs'!$H$30)^'MP Calculations'!$C$40)</f>
        <v>0</v>
      </c>
    </row>
    <row r="567" spans="3:17">
      <c r="C567" s="159"/>
      <c r="D567" s="165"/>
      <c r="E567" s="162"/>
      <c r="F567" s="166" t="str">
        <f t="shared" si="25"/>
        <v>-</v>
      </c>
      <c r="G567" s="68"/>
      <c r="H567" s="162"/>
      <c r="I567" s="173"/>
      <c r="J567" s="168" t="str">
        <f>IFERROR(MIN('MP Calculations'!$E$30/I567,1),"-")</f>
        <v>-</v>
      </c>
      <c r="K567" s="12"/>
      <c r="L567" s="159"/>
      <c r="M567" s="187"/>
      <c r="N567" s="187"/>
      <c r="O567" s="186" t="str">
        <f t="shared" si="26"/>
        <v>-</v>
      </c>
      <c r="P567" s="186" t="str">
        <f t="shared" si="27"/>
        <v>-</v>
      </c>
      <c r="Q567" s="215">
        <f>IF(P567="-",0,P567/(1+'General inputs'!$H$30)^'MP Calculations'!$C$40)</f>
        <v>0</v>
      </c>
    </row>
    <row r="568" spans="3:17">
      <c r="C568" s="159"/>
      <c r="D568" s="165"/>
      <c r="E568" s="162"/>
      <c r="F568" s="166" t="str">
        <f t="shared" si="25"/>
        <v>-</v>
      </c>
      <c r="G568" s="68"/>
      <c r="H568" s="162"/>
      <c r="I568" s="173"/>
      <c r="J568" s="168" t="str">
        <f>IFERROR(MIN('MP Calculations'!$E$30/I568,1),"-")</f>
        <v>-</v>
      </c>
      <c r="K568" s="12"/>
      <c r="L568" s="159"/>
      <c r="M568" s="187"/>
      <c r="N568" s="187"/>
      <c r="O568" s="186" t="str">
        <f t="shared" si="26"/>
        <v>-</v>
      </c>
      <c r="P568" s="186" t="str">
        <f t="shared" si="27"/>
        <v>-</v>
      </c>
      <c r="Q568" s="215">
        <f>IF(P568="-",0,P568/(1+'General inputs'!$H$30)^'MP Calculations'!$C$40)</f>
        <v>0</v>
      </c>
    </row>
    <row r="569" spans="3:17">
      <c r="C569" s="159"/>
      <c r="D569" s="165"/>
      <c r="E569" s="162"/>
      <c r="F569" s="166" t="str">
        <f t="shared" si="25"/>
        <v>-</v>
      </c>
      <c r="G569" s="68"/>
      <c r="H569" s="162"/>
      <c r="I569" s="173"/>
      <c r="J569" s="168" t="str">
        <f>IFERROR(MIN('MP Calculations'!$E$30/I569,1),"-")</f>
        <v>-</v>
      </c>
      <c r="K569" s="12"/>
      <c r="L569" s="159"/>
      <c r="M569" s="187"/>
      <c r="N569" s="187"/>
      <c r="O569" s="186" t="str">
        <f t="shared" si="26"/>
        <v>-</v>
      </c>
      <c r="P569" s="186" t="str">
        <f t="shared" si="27"/>
        <v>-</v>
      </c>
      <c r="Q569" s="215">
        <f>IF(P569="-",0,P569/(1+'General inputs'!$H$30)^'MP Calculations'!$C$40)</f>
        <v>0</v>
      </c>
    </row>
    <row r="570" spans="3:17">
      <c r="C570" s="159"/>
      <c r="D570" s="165"/>
      <c r="E570" s="162"/>
      <c r="F570" s="166" t="str">
        <f t="shared" si="25"/>
        <v>-</v>
      </c>
      <c r="G570" s="68"/>
      <c r="H570" s="162"/>
      <c r="I570" s="173"/>
      <c r="J570" s="168" t="str">
        <f>IFERROR(MIN('MP Calculations'!$E$30/I570,1),"-")</f>
        <v>-</v>
      </c>
      <c r="K570" s="12"/>
      <c r="L570" s="159"/>
      <c r="M570" s="187"/>
      <c r="N570" s="187"/>
      <c r="O570" s="186" t="str">
        <f t="shared" si="26"/>
        <v>-</v>
      </c>
      <c r="P570" s="186" t="str">
        <f t="shared" si="27"/>
        <v>-</v>
      </c>
      <c r="Q570" s="215">
        <f>IF(P570="-",0,P570/(1+'General inputs'!$H$30)^'MP Calculations'!$C$40)</f>
        <v>0</v>
      </c>
    </row>
    <row r="571" spans="3:17">
      <c r="C571" s="159"/>
      <c r="D571" s="165"/>
      <c r="E571" s="162"/>
      <c r="F571" s="166" t="str">
        <f t="shared" si="25"/>
        <v>-</v>
      </c>
      <c r="G571" s="68"/>
      <c r="H571" s="162"/>
      <c r="I571" s="173"/>
      <c r="J571" s="168" t="str">
        <f>IFERROR(MIN('MP Calculations'!$E$30/I571,1),"-")</f>
        <v>-</v>
      </c>
      <c r="K571" s="12"/>
      <c r="L571" s="159"/>
      <c r="M571" s="187"/>
      <c r="N571" s="187"/>
      <c r="O571" s="186" t="str">
        <f t="shared" si="26"/>
        <v>-</v>
      </c>
      <c r="P571" s="186" t="str">
        <f t="shared" si="27"/>
        <v>-</v>
      </c>
      <c r="Q571" s="215">
        <f>IF(P571="-",0,P571/(1+'General inputs'!$H$30)^'MP Calculations'!$C$40)</f>
        <v>0</v>
      </c>
    </row>
    <row r="572" spans="3:17">
      <c r="C572" s="159"/>
      <c r="D572" s="165"/>
      <c r="E572" s="162"/>
      <c r="F572" s="166" t="str">
        <f t="shared" si="25"/>
        <v>-</v>
      </c>
      <c r="G572" s="68"/>
      <c r="H572" s="162"/>
      <c r="I572" s="173"/>
      <c r="J572" s="168" t="str">
        <f>IFERROR(MIN('MP Calculations'!$E$30/I572,1),"-")</f>
        <v>-</v>
      </c>
      <c r="K572" s="12"/>
      <c r="L572" s="159"/>
      <c r="M572" s="187"/>
      <c r="N572" s="187"/>
      <c r="O572" s="186" t="str">
        <f t="shared" si="26"/>
        <v>-</v>
      </c>
      <c r="P572" s="186" t="str">
        <f t="shared" si="27"/>
        <v>-</v>
      </c>
      <c r="Q572" s="215">
        <f>IF(P572="-",0,P572/(1+'General inputs'!$H$30)^'MP Calculations'!$C$40)</f>
        <v>0</v>
      </c>
    </row>
    <row r="573" spans="3:17">
      <c r="C573" s="159"/>
      <c r="D573" s="165"/>
      <c r="E573" s="162"/>
      <c r="F573" s="166" t="str">
        <f t="shared" si="25"/>
        <v>-</v>
      </c>
      <c r="G573" s="68"/>
      <c r="H573" s="162"/>
      <c r="I573" s="173"/>
      <c r="J573" s="168" t="str">
        <f>IFERROR(MIN('MP Calculations'!$E$30/I573,1),"-")</f>
        <v>-</v>
      </c>
      <c r="K573" s="12"/>
      <c r="L573" s="159"/>
      <c r="M573" s="187"/>
      <c r="N573" s="187"/>
      <c r="O573" s="186" t="str">
        <f t="shared" si="26"/>
        <v>-</v>
      </c>
      <c r="P573" s="186" t="str">
        <f t="shared" si="27"/>
        <v>-</v>
      </c>
      <c r="Q573" s="215">
        <f>IF(P573="-",0,P573/(1+'General inputs'!$H$30)^'MP Calculations'!$C$40)</f>
        <v>0</v>
      </c>
    </row>
    <row r="574" spans="3:17">
      <c r="C574" s="159"/>
      <c r="D574" s="165"/>
      <c r="E574" s="162"/>
      <c r="F574" s="166" t="str">
        <f t="shared" si="25"/>
        <v>-</v>
      </c>
      <c r="G574" s="68"/>
      <c r="H574" s="162"/>
      <c r="I574" s="173"/>
      <c r="J574" s="168" t="str">
        <f>IFERROR(MIN('MP Calculations'!$E$30/I574,1),"-")</f>
        <v>-</v>
      </c>
      <c r="K574" s="12"/>
      <c r="L574" s="159"/>
      <c r="M574" s="187"/>
      <c r="N574" s="187"/>
      <c r="O574" s="186" t="str">
        <f t="shared" si="26"/>
        <v>-</v>
      </c>
      <c r="P574" s="186" t="str">
        <f t="shared" si="27"/>
        <v>-</v>
      </c>
      <c r="Q574" s="215">
        <f>IF(P574="-",0,P574/(1+'General inputs'!$H$30)^'MP Calculations'!$C$40)</f>
        <v>0</v>
      </c>
    </row>
    <row r="575" spans="3:17">
      <c r="C575" s="159"/>
      <c r="D575" s="165"/>
      <c r="E575" s="162"/>
      <c r="F575" s="166" t="str">
        <f t="shared" si="25"/>
        <v>-</v>
      </c>
      <c r="G575" s="68"/>
      <c r="H575" s="162"/>
      <c r="I575" s="173"/>
      <c r="J575" s="168" t="str">
        <f>IFERROR(MIN('MP Calculations'!$E$30/I575,1),"-")</f>
        <v>-</v>
      </c>
      <c r="K575" s="12"/>
      <c r="L575" s="159"/>
      <c r="M575" s="187"/>
      <c r="N575" s="187"/>
      <c r="O575" s="186" t="str">
        <f t="shared" si="26"/>
        <v>-</v>
      </c>
      <c r="P575" s="186" t="str">
        <f t="shared" si="27"/>
        <v>-</v>
      </c>
      <c r="Q575" s="215">
        <f>IF(P575="-",0,P575/(1+'General inputs'!$H$30)^'MP Calculations'!$C$40)</f>
        <v>0</v>
      </c>
    </row>
    <row r="576" spans="3:17">
      <c r="C576" s="159"/>
      <c r="D576" s="165"/>
      <c r="E576" s="162"/>
      <c r="F576" s="166" t="str">
        <f t="shared" si="25"/>
        <v>-</v>
      </c>
      <c r="G576" s="68"/>
      <c r="H576" s="162"/>
      <c r="I576" s="173"/>
      <c r="J576" s="168" t="str">
        <f>IFERROR(MIN('MP Calculations'!$E$30/I576,1),"-")</f>
        <v>-</v>
      </c>
      <c r="K576" s="12"/>
      <c r="L576" s="159"/>
      <c r="M576" s="187"/>
      <c r="N576" s="187"/>
      <c r="O576" s="186" t="str">
        <f t="shared" si="26"/>
        <v>-</v>
      </c>
      <c r="P576" s="186" t="str">
        <f t="shared" si="27"/>
        <v>-</v>
      </c>
      <c r="Q576" s="215">
        <f>IF(P576="-",0,P576/(1+'General inputs'!$H$30)^'MP Calculations'!$C$40)</f>
        <v>0</v>
      </c>
    </row>
    <row r="577" spans="3:17">
      <c r="C577" s="159"/>
      <c r="D577" s="165"/>
      <c r="E577" s="162"/>
      <c r="F577" s="166" t="str">
        <f t="shared" si="25"/>
        <v>-</v>
      </c>
      <c r="G577" s="68"/>
      <c r="H577" s="162"/>
      <c r="I577" s="173"/>
      <c r="J577" s="168" t="str">
        <f>IFERROR(MIN('MP Calculations'!$E$30/I577,1),"-")</f>
        <v>-</v>
      </c>
      <c r="K577" s="12"/>
      <c r="L577" s="159"/>
      <c r="M577" s="187"/>
      <c r="N577" s="187"/>
      <c r="O577" s="186" t="str">
        <f t="shared" si="26"/>
        <v>-</v>
      </c>
      <c r="P577" s="186" t="str">
        <f t="shared" si="27"/>
        <v>-</v>
      </c>
      <c r="Q577" s="215">
        <f>IF(P577="-",0,P577/(1+'General inputs'!$H$30)^'MP Calculations'!$C$40)</f>
        <v>0</v>
      </c>
    </row>
    <row r="578" spans="3:17">
      <c r="C578" s="159"/>
      <c r="D578" s="165"/>
      <c r="E578" s="162"/>
      <c r="F578" s="166" t="str">
        <f t="shared" si="25"/>
        <v>-</v>
      </c>
      <c r="G578" s="68"/>
      <c r="H578" s="162"/>
      <c r="I578" s="173"/>
      <c r="J578" s="168" t="str">
        <f>IFERROR(MIN('MP Calculations'!$E$30/I578,1),"-")</f>
        <v>-</v>
      </c>
      <c r="K578" s="12"/>
      <c r="L578" s="159"/>
      <c r="M578" s="187"/>
      <c r="N578" s="187"/>
      <c r="O578" s="186" t="str">
        <f t="shared" si="26"/>
        <v>-</v>
      </c>
      <c r="P578" s="186" t="str">
        <f t="shared" si="27"/>
        <v>-</v>
      </c>
      <c r="Q578" s="215">
        <f>IF(P578="-",0,P578/(1+'General inputs'!$H$30)^'MP Calculations'!$C$40)</f>
        <v>0</v>
      </c>
    </row>
    <row r="579" spans="3:17">
      <c r="C579" s="159"/>
      <c r="D579" s="165"/>
      <c r="E579" s="162"/>
      <c r="F579" s="166" t="str">
        <f t="shared" si="25"/>
        <v>-</v>
      </c>
      <c r="G579" s="68"/>
      <c r="H579" s="162"/>
      <c r="I579" s="173"/>
      <c r="J579" s="168" t="str">
        <f>IFERROR(MIN('MP Calculations'!$E$30/I579,1),"-")</f>
        <v>-</v>
      </c>
      <c r="K579" s="12"/>
      <c r="L579" s="159"/>
      <c r="M579" s="187"/>
      <c r="N579" s="187"/>
      <c r="O579" s="186" t="str">
        <f t="shared" si="26"/>
        <v>-</v>
      </c>
      <c r="P579" s="186" t="str">
        <f t="shared" si="27"/>
        <v>-</v>
      </c>
      <c r="Q579" s="215">
        <f>IF(P579="-",0,P579/(1+'General inputs'!$H$30)^'MP Calculations'!$C$40)</f>
        <v>0</v>
      </c>
    </row>
    <row r="580" spans="3:17">
      <c r="C580" s="159"/>
      <c r="D580" s="165"/>
      <c r="E580" s="162"/>
      <c r="F580" s="166" t="str">
        <f t="shared" si="25"/>
        <v>-</v>
      </c>
      <c r="G580" s="68"/>
      <c r="H580" s="162"/>
      <c r="I580" s="173"/>
      <c r="J580" s="168" t="str">
        <f>IFERROR(MIN('MP Calculations'!$E$30/I580,1),"-")</f>
        <v>-</v>
      </c>
      <c r="K580" s="12"/>
      <c r="L580" s="159"/>
      <c r="M580" s="187"/>
      <c r="N580" s="187"/>
      <c r="O580" s="186" t="str">
        <f t="shared" si="26"/>
        <v>-</v>
      </c>
      <c r="P580" s="186" t="str">
        <f t="shared" si="27"/>
        <v>-</v>
      </c>
      <c r="Q580" s="215">
        <f>IF(P580="-",0,P580/(1+'General inputs'!$H$30)^'MP Calculations'!$C$40)</f>
        <v>0</v>
      </c>
    </row>
    <row r="581" spans="3:17">
      <c r="C581" s="159"/>
      <c r="D581" s="165"/>
      <c r="E581" s="162"/>
      <c r="F581" s="166" t="str">
        <f t="shared" si="25"/>
        <v>-</v>
      </c>
      <c r="G581" s="68"/>
      <c r="H581" s="162"/>
      <c r="I581" s="173"/>
      <c r="J581" s="168" t="str">
        <f>IFERROR(MIN('MP Calculations'!$E$30/I581,1),"-")</f>
        <v>-</v>
      </c>
      <c r="K581" s="12"/>
      <c r="L581" s="159"/>
      <c r="M581" s="187"/>
      <c r="N581" s="187"/>
      <c r="O581" s="186" t="str">
        <f t="shared" si="26"/>
        <v>-</v>
      </c>
      <c r="P581" s="186" t="str">
        <f t="shared" si="27"/>
        <v>-</v>
      </c>
      <c r="Q581" s="215">
        <f>IF(P581="-",0,P581/(1+'General inputs'!$H$30)^'MP Calculations'!$C$40)</f>
        <v>0</v>
      </c>
    </row>
    <row r="582" spans="3:17">
      <c r="C582" s="159"/>
      <c r="D582" s="165"/>
      <c r="E582" s="162"/>
      <c r="F582" s="166" t="str">
        <f t="shared" si="25"/>
        <v>-</v>
      </c>
      <c r="G582" s="68"/>
      <c r="H582" s="162"/>
      <c r="I582" s="173"/>
      <c r="J582" s="168" t="str">
        <f>IFERROR(MIN('MP Calculations'!$E$30/I582,1),"-")</f>
        <v>-</v>
      </c>
      <c r="K582" s="12"/>
      <c r="L582" s="159"/>
      <c r="M582" s="187"/>
      <c r="N582" s="187"/>
      <c r="O582" s="186" t="str">
        <f t="shared" si="26"/>
        <v>-</v>
      </c>
      <c r="P582" s="186" t="str">
        <f t="shared" si="27"/>
        <v>-</v>
      </c>
      <c r="Q582" s="215">
        <f>IF(P582="-",0,P582/(1+'General inputs'!$H$30)^'MP Calculations'!$C$40)</f>
        <v>0</v>
      </c>
    </row>
    <row r="583" spans="3:17">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c r="O3103" s="6" t="s">
        <v>19</v>
      </c>
      <c r="P3103" s="208">
        <f>SUM(P22:P3102)</f>
        <v>2902999.1869918862</v>
      </c>
      <c r="Q3103" s="208">
        <f>SUM(Q22:Q3102)</f>
        <v>6448400.1772441622</v>
      </c>
    </row>
    <row r="3105" spans="16:17">
      <c r="P3105" s="234" t="s">
        <v>278</v>
      </c>
      <c r="Q3105" s="233">
        <f>Q3103/J22</f>
        <v>15916729.520814957</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topLeftCell="D1" zoomScaleNormal="100" workbookViewId="0">
      <pane ySplit="21" topLeftCell="A595" activePane="bottomLeft" state="frozen"/>
      <selection activeCell="A22" sqref="A22"/>
      <selection pane="bottomLeft" activeCell="N22" sqref="N22:N610"/>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8" width="26.69921875" customWidth="1"/>
    <col min="9" max="10" width="15.69921875" customWidth="1"/>
    <col min="11" max="11" width="2.69921875" customWidth="1"/>
    <col min="12" max="13" width="15.69921875" customWidth="1"/>
    <col min="14" max="14" width="18" customWidth="1"/>
    <col min="15" max="17" width="15.69921875" customWidth="1"/>
    <col min="18" max="18" width="16.59765625" customWidth="1"/>
    <col min="19" max="19" width="10" bestFit="1" customWidth="1"/>
  </cols>
  <sheetData>
    <row r="1" spans="3:5">
      <c r="E1" s="27"/>
    </row>
    <row r="2" spans="3:5">
      <c r="E2" s="27"/>
    </row>
    <row r="3" spans="3:5" ht="20">
      <c r="C3" s="50" t="s">
        <v>202</v>
      </c>
    </row>
    <row r="5" spans="3:5">
      <c r="D5" s="27"/>
    </row>
    <row r="6" spans="3:5"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c r="C7" s="104" t="str">
        <f ca="1">"Hyperlink to the '"&amp;MID(CELL("filename",'Asset exclusions'!A1),FIND("]",CELL("filename",'Asset exclusions'!A1))+1,255)&amp;"' worksheet:"</f>
        <v>Hyperlink to the 'Asset exclusions' worksheet:</v>
      </c>
      <c r="E7" s="134" t="s">
        <v>187</v>
      </c>
    </row>
    <row r="8" spans="3:5">
      <c r="C8" s="104"/>
      <c r="E8" s="134"/>
    </row>
    <row r="9" spans="3:5">
      <c r="C9" s="104" t="s">
        <v>242</v>
      </c>
      <c r="E9" s="134"/>
    </row>
    <row r="10" spans="3:5">
      <c r="C10" s="104" t="s">
        <v>245</v>
      </c>
      <c r="E10" s="134"/>
    </row>
    <row r="11" spans="3:5">
      <c r="C11" s="104" t="s">
        <v>244</v>
      </c>
      <c r="E11" s="134"/>
    </row>
    <row r="12" spans="3:5">
      <c r="C12" s="104" t="s">
        <v>243</v>
      </c>
      <c r="E12" s="134"/>
    </row>
    <row r="14" spans="3:5">
      <c r="C14" s="6" t="s">
        <v>54</v>
      </c>
    </row>
    <row r="15" spans="3:5">
      <c r="C15" s="57" t="s">
        <v>58</v>
      </c>
      <c r="E15" s="82">
        <f>'General inputs'!$H$24+1</f>
        <v>35065</v>
      </c>
    </row>
    <row r="16" spans="3:5">
      <c r="C16" s="57" t="s">
        <v>59</v>
      </c>
      <c r="E16" s="83">
        <f>'General inputs'!$H$18</f>
        <v>44742</v>
      </c>
    </row>
    <row r="18" spans="3:19" ht="15.5">
      <c r="C18" s="2" t="s">
        <v>208</v>
      </c>
    </row>
    <row r="20" spans="3:19">
      <c r="C20" s="6" t="s">
        <v>16</v>
      </c>
      <c r="H20" s="6" t="s">
        <v>17</v>
      </c>
      <c r="L20" s="6" t="s">
        <v>18</v>
      </c>
      <c r="M20" s="6"/>
      <c r="Q20" s="237" t="s">
        <v>276</v>
      </c>
    </row>
    <row r="21" spans="3:19" ht="46">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c r="C22" s="159"/>
      <c r="D22" s="165" t="s">
        <v>281</v>
      </c>
      <c r="E22" s="161">
        <v>35123</v>
      </c>
      <c r="F22" s="172" t="str">
        <f t="shared" ref="F22:F85" si="0">IF(E22="","-",IF(OR(E22&lt;$E$15,E22&gt;$E$16),"ERROR - date outside of range",IF(MONTH(E22)&gt;=7,YEAR(E22)&amp;"-"&amp;IF(YEAR(E22)=1999,"00",IF(AND(YEAR(E22)&gt;=2000,YEAR(E22)&lt;2009),"0","")&amp;RIGHT(YEAR(E22),2)+1),RIGHT(YEAR(E22),4)-1&amp;"-"&amp;RIGHT(YEAR(E22),2))))</f>
        <v>1995-96</v>
      </c>
      <c r="G22" s="68"/>
      <c r="H22" s="167" t="s">
        <v>293</v>
      </c>
      <c r="I22" s="173">
        <v>20414.77563211487</v>
      </c>
      <c r="J22" s="168">
        <f>IFERROR(MIN('MP Calculations'!$E$30/I22,1),"-")</f>
        <v>0.40513348981719682</v>
      </c>
      <c r="K22" s="12"/>
      <c r="L22" s="159">
        <v>155.302302</v>
      </c>
      <c r="M22" s="159" t="s">
        <v>294</v>
      </c>
      <c r="N22" s="159">
        <v>350</v>
      </c>
      <c r="O22" s="185">
        <f t="shared" ref="O22:O85" si="1">IF(N22="","-",L22*N22)</f>
        <v>54355.805699999997</v>
      </c>
      <c r="P22" s="215">
        <f t="shared" ref="P22" si="2">IF(O22="-","-",IF(OR(E22&lt;$E$15,E22&gt;$E$16),0,O22*J22))</f>
        <v>22021.357255066479</v>
      </c>
      <c r="Q22" s="215" cm="1">
        <f t="array" ref="Q22">IF(P22="-",0,P22/(1+'General inputs'!$H$32)^IFERROR(INDEX('MP Calculations'!$C$40:$C$130,MATCH(F22,'MP Calculations'!$D$40:$D$130,0),0),-1))</f>
        <v>66876.339619894323</v>
      </c>
      <c r="R22" s="201"/>
      <c r="S22" s="200"/>
    </row>
    <row r="23" spans="3:19">
      <c r="C23" s="159"/>
      <c r="D23" s="165" t="s">
        <v>281</v>
      </c>
      <c r="E23" s="161">
        <v>35123</v>
      </c>
      <c r="F23" s="172" t="str">
        <f t="shared" si="0"/>
        <v>1995-96</v>
      </c>
      <c r="G23" s="68"/>
      <c r="H23" s="167" t="s">
        <v>293</v>
      </c>
      <c r="I23" s="173">
        <v>20414.77563211487</v>
      </c>
      <c r="J23" s="168">
        <f>IFERROR(MIN('MP Calculations'!$E$30/I23,1),"-")</f>
        <v>0.40513348981719682</v>
      </c>
      <c r="K23" s="12"/>
      <c r="L23" s="159">
        <v>149.487393</v>
      </c>
      <c r="M23" s="159" t="s">
        <v>294</v>
      </c>
      <c r="N23" s="159">
        <v>350</v>
      </c>
      <c r="O23" s="185">
        <f t="shared" si="1"/>
        <v>52320.587549999997</v>
      </c>
      <c r="P23" s="215">
        <f t="shared" ref="P23:P86" si="3">IF(O23="-","-",IF(OR(E23&lt;$E$15,E23&gt;$E$16),0,O23*J23))</f>
        <v>21196.822223417679</v>
      </c>
      <c r="Q23" s="215" cm="1">
        <f t="array" ref="Q23">IF(P23="-",0,P23/(1+'General inputs'!$H$32)^IFERROR(INDEX('MP Calculations'!$C$40:$C$130,MATCH(F23,'MP Calculations'!$D$40:$D$130,0),0),-1))</f>
        <v>64372.321172422882</v>
      </c>
    </row>
    <row r="24" spans="3:19">
      <c r="C24" s="159"/>
      <c r="D24" s="165" t="s">
        <v>281</v>
      </c>
      <c r="E24" s="161">
        <v>35123</v>
      </c>
      <c r="F24" s="172" t="str">
        <f t="shared" si="0"/>
        <v>1995-96</v>
      </c>
      <c r="G24" s="68"/>
      <c r="H24" s="167" t="s">
        <v>293</v>
      </c>
      <c r="I24" s="173">
        <v>20414.77563211487</v>
      </c>
      <c r="J24" s="168">
        <f>IFERROR(MIN('MP Calculations'!$E$30/I24,1),"-")</f>
        <v>0.40513348981719682</v>
      </c>
      <c r="K24" s="12"/>
      <c r="L24" s="159">
        <v>5.3101149999999997</v>
      </c>
      <c r="M24" s="159" t="s">
        <v>294</v>
      </c>
      <c r="N24" s="159">
        <v>350</v>
      </c>
      <c r="O24" s="185">
        <f t="shared" si="1"/>
        <v>1858.5402499999998</v>
      </c>
      <c r="P24" s="215">
        <f t="shared" si="3"/>
        <v>752.95689744822539</v>
      </c>
      <c r="Q24" s="215" cm="1">
        <f t="array" ref="Q24">IF(P24="-",0,P24/(1+'General inputs'!$H$32)^IFERROR(INDEX('MP Calculations'!$C$40:$C$130,MATCH(F24,'MP Calculations'!$D$40:$D$130,0),0),-1))</f>
        <v>2286.6438525856179</v>
      </c>
    </row>
    <row r="25" spans="3:19">
      <c r="C25" s="159"/>
      <c r="D25" s="165" t="s">
        <v>281</v>
      </c>
      <c r="E25" s="161">
        <v>35123</v>
      </c>
      <c r="F25" s="172" t="str">
        <f t="shared" si="0"/>
        <v>1995-96</v>
      </c>
      <c r="G25" s="68"/>
      <c r="H25" s="167" t="s">
        <v>293</v>
      </c>
      <c r="I25" s="173">
        <v>20414.77563211487</v>
      </c>
      <c r="J25" s="168">
        <f>IFERROR(MIN('MP Calculations'!$E$30/I25,1),"-")</f>
        <v>0.40513348981719682</v>
      </c>
      <c r="K25" s="12"/>
      <c r="L25" s="159">
        <v>102.690572</v>
      </c>
      <c r="M25" s="159" t="s">
        <v>294</v>
      </c>
      <c r="N25" s="159">
        <v>350</v>
      </c>
      <c r="O25" s="185">
        <f t="shared" si="1"/>
        <v>35941.700199999999</v>
      </c>
      <c r="P25" s="215">
        <f t="shared" si="3"/>
        <v>14561.186431989441</v>
      </c>
      <c r="Q25" s="215" cm="1">
        <f t="array" ref="Q25">IF(P25="-",0,P25/(1+'General inputs'!$H$32)^IFERROR(INDEX('MP Calculations'!$C$40:$C$130,MATCH(F25,'MP Calculations'!$D$40:$D$130,0),0),-1))</f>
        <v>44220.6553308734</v>
      </c>
    </row>
    <row r="26" spans="3:19">
      <c r="C26" s="159"/>
      <c r="D26" s="165" t="s">
        <v>281</v>
      </c>
      <c r="E26" s="161">
        <v>35123</v>
      </c>
      <c r="F26" s="172" t="str">
        <f t="shared" si="0"/>
        <v>1995-96</v>
      </c>
      <c r="G26" s="68"/>
      <c r="H26" s="167" t="s">
        <v>293</v>
      </c>
      <c r="I26" s="173">
        <v>20414.77563211487</v>
      </c>
      <c r="J26" s="168">
        <f>IFERROR(MIN('MP Calculations'!$E$30/I26,1),"-")</f>
        <v>0.40513348981719682</v>
      </c>
      <c r="K26" s="12"/>
      <c r="L26" s="159">
        <v>54.007871000000002</v>
      </c>
      <c r="M26" s="159" t="s">
        <v>294</v>
      </c>
      <c r="N26" s="159">
        <v>350</v>
      </c>
      <c r="O26" s="185">
        <f t="shared" si="1"/>
        <v>18902.754850000001</v>
      </c>
      <c r="P26" s="215">
        <f t="shared" si="3"/>
        <v>7658.1390395394437</v>
      </c>
      <c r="Q26" s="215" cm="1">
        <f t="array" ref="Q26">IF(P26="-",0,P26/(1+'General inputs'!$H$32)^IFERROR(INDEX('MP Calculations'!$C$40:$C$130,MATCH(F26,'MP Calculations'!$D$40:$D$130,0),0),-1))</f>
        <v>23256.891086800773</v>
      </c>
    </row>
    <row r="27" spans="3:19">
      <c r="C27" s="159"/>
      <c r="D27" s="165" t="s">
        <v>281</v>
      </c>
      <c r="E27" s="161">
        <v>35123</v>
      </c>
      <c r="F27" s="172" t="str">
        <f t="shared" si="0"/>
        <v>1995-96</v>
      </c>
      <c r="G27" s="68"/>
      <c r="H27" s="167" t="s">
        <v>293</v>
      </c>
      <c r="I27" s="173">
        <v>20414.77563211487</v>
      </c>
      <c r="J27" s="168">
        <f>IFERROR(MIN('MP Calculations'!$E$30/I27,1),"-")</f>
        <v>0.40513348981719682</v>
      </c>
      <c r="K27" s="12"/>
      <c r="L27" s="159">
        <v>149.42912799999999</v>
      </c>
      <c r="M27" s="159" t="s">
        <v>294</v>
      </c>
      <c r="N27" s="159">
        <v>350</v>
      </c>
      <c r="O27" s="185">
        <f t="shared" si="1"/>
        <v>52300.194799999997</v>
      </c>
      <c r="P27" s="215">
        <f t="shared" si="3"/>
        <v>21188.560437443208</v>
      </c>
      <c r="Q27" s="215" cm="1">
        <f t="array" ref="Q27">IF(P27="-",0,P27/(1+'General inputs'!$H$32)^IFERROR(INDEX('MP Calculations'!$C$40:$C$130,MATCH(F27,'MP Calculations'!$D$40:$D$130,0),0),-1))</f>
        <v>64347.231074737443</v>
      </c>
    </row>
    <row r="28" spans="3:19">
      <c r="C28" s="159"/>
      <c r="D28" s="165" t="s">
        <v>281</v>
      </c>
      <c r="E28" s="161">
        <v>35123</v>
      </c>
      <c r="F28" s="172" t="str">
        <f t="shared" si="0"/>
        <v>1995-96</v>
      </c>
      <c r="G28" s="68"/>
      <c r="H28" s="167" t="s">
        <v>293</v>
      </c>
      <c r="I28" s="173">
        <v>20414.77563211487</v>
      </c>
      <c r="J28" s="168">
        <f>IFERROR(MIN('MP Calculations'!$E$30/I28,1),"-")</f>
        <v>0.40513348981719682</v>
      </c>
      <c r="K28" s="12"/>
      <c r="L28" s="159">
        <v>158.48398599999999</v>
      </c>
      <c r="M28" s="159" t="s">
        <v>294</v>
      </c>
      <c r="N28" s="159">
        <v>350</v>
      </c>
      <c r="O28" s="185">
        <f t="shared" si="1"/>
        <v>55469.395099999994</v>
      </c>
      <c r="P28" s="215">
        <f t="shared" si="3"/>
        <v>22472.509614911916</v>
      </c>
      <c r="Q28" s="215" cm="1">
        <f t="array" ref="Q28">IF(P28="-",0,P28/(1+'General inputs'!$H$32)^IFERROR(INDEX('MP Calculations'!$C$40:$C$130,MATCH(F28,'MP Calculations'!$D$40:$D$130,0),0),-1))</f>
        <v>68246.437660985714</v>
      </c>
    </row>
    <row r="29" spans="3:19">
      <c r="C29" s="159"/>
      <c r="D29" s="165" t="s">
        <v>281</v>
      </c>
      <c r="E29" s="161">
        <v>35123</v>
      </c>
      <c r="F29" s="172" t="str">
        <f t="shared" si="0"/>
        <v>1995-96</v>
      </c>
      <c r="G29" s="68"/>
      <c r="H29" s="167" t="s">
        <v>293</v>
      </c>
      <c r="I29" s="173">
        <v>20414.77563211487</v>
      </c>
      <c r="J29" s="168">
        <f>IFERROR(MIN('MP Calculations'!$E$30/I29,1),"-")</f>
        <v>0.40513348981719682</v>
      </c>
      <c r="K29" s="12"/>
      <c r="L29" s="159">
        <v>12.635218999999999</v>
      </c>
      <c r="M29" s="159" t="s">
        <v>294</v>
      </c>
      <c r="N29" s="159">
        <v>350</v>
      </c>
      <c r="O29" s="185">
        <f t="shared" si="1"/>
        <v>4422.32665</v>
      </c>
      <c r="P29" s="215">
        <f t="shared" si="3"/>
        <v>1791.6326288260932</v>
      </c>
      <c r="Q29" s="215" cm="1">
        <f t="array" ref="Q29">IF(P29="-",0,P29/(1+'General inputs'!$H$32)^IFERROR(INDEX('MP Calculations'!$C$40:$C$130,MATCH(F29,'MP Calculations'!$D$40:$D$130,0),0),-1))</f>
        <v>5440.9830770939989</v>
      </c>
      <c r="R29" s="202"/>
    </row>
    <row r="30" spans="3:19">
      <c r="C30" s="159"/>
      <c r="D30" s="165" t="s">
        <v>281</v>
      </c>
      <c r="E30" s="161">
        <v>35123</v>
      </c>
      <c r="F30" s="172" t="str">
        <f t="shared" si="0"/>
        <v>1995-96</v>
      </c>
      <c r="G30" s="68"/>
      <c r="H30" s="167" t="s">
        <v>293</v>
      </c>
      <c r="I30" s="173">
        <v>20414.77563211487</v>
      </c>
      <c r="J30" s="168">
        <f>IFERROR(MIN('MP Calculations'!$E$30/I30,1),"-")</f>
        <v>0.40513348981719682</v>
      </c>
      <c r="K30" s="12"/>
      <c r="L30" s="159">
        <v>191.535538</v>
      </c>
      <c r="M30" s="159" t="s">
        <v>294</v>
      </c>
      <c r="N30" s="159">
        <v>350</v>
      </c>
      <c r="O30" s="185">
        <f t="shared" si="1"/>
        <v>67037.438299999994</v>
      </c>
      <c r="P30" s="215">
        <f t="shared" si="3"/>
        <v>27159.111326884009</v>
      </c>
      <c r="Q30" s="215" cm="1">
        <f t="array" ref="Q30">IF(P30="-",0,P30/(1+'General inputs'!$H$32)^IFERROR(INDEX('MP Calculations'!$C$40:$C$130,MATCH(F30,'MP Calculations'!$D$40:$D$130,0),0),-1))</f>
        <v>82479.110248907804</v>
      </c>
    </row>
    <row r="31" spans="3:19">
      <c r="C31" s="159"/>
      <c r="D31" s="165" t="s">
        <v>281</v>
      </c>
      <c r="E31" s="161">
        <v>35123</v>
      </c>
      <c r="F31" s="172" t="str">
        <f t="shared" si="0"/>
        <v>1995-96</v>
      </c>
      <c r="G31" s="68"/>
      <c r="H31" s="167" t="s">
        <v>293</v>
      </c>
      <c r="I31" s="173">
        <v>20414.77563211487</v>
      </c>
      <c r="J31" s="168">
        <f>IFERROR(MIN('MP Calculations'!$E$30/I31,1),"-")</f>
        <v>0.40513348981719682</v>
      </c>
      <c r="K31" s="12"/>
      <c r="L31" s="159">
        <v>42.286774999999999</v>
      </c>
      <c r="M31" s="159" t="s">
        <v>294</v>
      </c>
      <c r="N31" s="159">
        <v>350</v>
      </c>
      <c r="O31" s="185">
        <f t="shared" si="1"/>
        <v>14800.37125</v>
      </c>
      <c r="P31" s="215">
        <f t="shared" si="3"/>
        <v>5996.126055102608</v>
      </c>
      <c r="Q31" s="215" cm="1">
        <f t="array" ref="Q31">IF(P31="-",0,P31/(1+'General inputs'!$H$32)^IFERROR(INDEX('MP Calculations'!$C$40:$C$130,MATCH(F31,'MP Calculations'!$D$40:$D$130,0),0),-1))</f>
        <v>18209.548022862255</v>
      </c>
    </row>
    <row r="32" spans="3:19">
      <c r="C32" s="159"/>
      <c r="D32" s="165" t="s">
        <v>282</v>
      </c>
      <c r="E32" s="161">
        <v>35626</v>
      </c>
      <c r="F32" s="172" t="str">
        <f t="shared" si="0"/>
        <v>1997-98</v>
      </c>
      <c r="G32" s="68"/>
      <c r="H32" s="167" t="s">
        <v>293</v>
      </c>
      <c r="I32" s="173">
        <v>20414.77563211487</v>
      </c>
      <c r="J32" s="168">
        <f>IFERROR(MIN('MP Calculations'!$E$30/I32,1),"-")</f>
        <v>0.40513348981719682</v>
      </c>
      <c r="K32" s="12"/>
      <c r="L32" s="159">
        <v>4.9987839999999997</v>
      </c>
      <c r="M32" s="159" t="s">
        <v>294</v>
      </c>
      <c r="N32" s="159">
        <v>511</v>
      </c>
      <c r="O32" s="185">
        <f t="shared" si="1"/>
        <v>2554.3786239999999</v>
      </c>
      <c r="P32" s="215">
        <f t="shared" si="3"/>
        <v>1034.8643262555693</v>
      </c>
      <c r="Q32" s="215" cm="1">
        <f t="array" ref="Q32">IF(P32="-",0,P32/(1+'General inputs'!$H$32)^IFERROR(INDEX('MP Calculations'!$C$40:$C$130,MATCH(F32,'MP Calculations'!$D$40:$D$130,0),0),-1))</f>
        <v>2894.5189043998416</v>
      </c>
    </row>
    <row r="33" spans="3:17">
      <c r="C33" s="159"/>
      <c r="D33" s="165" t="s">
        <v>282</v>
      </c>
      <c r="E33" s="161">
        <v>35626</v>
      </c>
      <c r="F33" s="172" t="str">
        <f t="shared" si="0"/>
        <v>1997-98</v>
      </c>
      <c r="G33" s="68"/>
      <c r="H33" s="167" t="s">
        <v>293</v>
      </c>
      <c r="I33" s="173">
        <v>20414.77563211487</v>
      </c>
      <c r="J33" s="168">
        <f>IFERROR(MIN('MP Calculations'!$E$30/I33,1),"-")</f>
        <v>0.40513348981719682</v>
      </c>
      <c r="K33" s="12"/>
      <c r="L33" s="159">
        <v>4.8988449999999997</v>
      </c>
      <c r="M33" s="159" t="s">
        <v>294</v>
      </c>
      <c r="N33" s="159">
        <v>511</v>
      </c>
      <c r="O33" s="185">
        <f t="shared" si="1"/>
        <v>2503.3097949999997</v>
      </c>
      <c r="P33" s="215">
        <f t="shared" si="3"/>
        <v>1014.1746333419214</v>
      </c>
      <c r="Q33" s="215" cm="1">
        <f t="array" ref="Q33">IF(P33="-",0,P33/(1+'General inputs'!$H$32)^IFERROR(INDEX('MP Calculations'!$C$40:$C$130,MATCH(F33,'MP Calculations'!$D$40:$D$130,0),0),-1))</f>
        <v>2836.6497656679385</v>
      </c>
    </row>
    <row r="34" spans="3:17">
      <c r="C34" s="159"/>
      <c r="D34" s="165" t="s">
        <v>282</v>
      </c>
      <c r="E34" s="161">
        <v>35703</v>
      </c>
      <c r="F34" s="172" t="str">
        <f t="shared" si="0"/>
        <v>1997-98</v>
      </c>
      <c r="G34" s="68"/>
      <c r="H34" s="167" t="s">
        <v>293</v>
      </c>
      <c r="I34" s="173">
        <v>20414.77563211487</v>
      </c>
      <c r="J34" s="168">
        <f>IFERROR(MIN('MP Calculations'!$E$30/I34,1),"-")</f>
        <v>0.40513348981719682</v>
      </c>
      <c r="K34" s="12"/>
      <c r="L34" s="159">
        <v>8.7136220000000009</v>
      </c>
      <c r="M34" s="159" t="s">
        <v>294</v>
      </c>
      <c r="N34" s="159">
        <v>511</v>
      </c>
      <c r="O34" s="185">
        <f t="shared" si="1"/>
        <v>4452.6608420000002</v>
      </c>
      <c r="P34" s="215">
        <f t="shared" si="3"/>
        <v>1803.9220258918381</v>
      </c>
      <c r="Q34" s="215" cm="1">
        <f t="array" ref="Q34">IF(P34="-",0,P34/(1+'General inputs'!$H$32)^IFERROR(INDEX('MP Calculations'!$C$40:$C$130,MATCH(F34,'MP Calculations'!$D$40:$D$130,0),0),-1))</f>
        <v>5045.5758049946462</v>
      </c>
    </row>
    <row r="35" spans="3:17">
      <c r="C35" s="159"/>
      <c r="D35" s="165" t="s">
        <v>282</v>
      </c>
      <c r="E35" s="161">
        <v>35703</v>
      </c>
      <c r="F35" s="172" t="str">
        <f t="shared" si="0"/>
        <v>1997-98</v>
      </c>
      <c r="G35" s="68"/>
      <c r="H35" s="167" t="s">
        <v>293</v>
      </c>
      <c r="I35" s="173">
        <v>20414.77563211487</v>
      </c>
      <c r="J35" s="168">
        <f>IFERROR(MIN('MP Calculations'!$E$30/I35,1),"-")</f>
        <v>0.40513348981719682</v>
      </c>
      <c r="K35" s="12"/>
      <c r="L35" s="159">
        <v>3.8708100000000001</v>
      </c>
      <c r="M35" s="159" t="s">
        <v>294</v>
      </c>
      <c r="N35" s="159">
        <v>511</v>
      </c>
      <c r="O35" s="185">
        <f t="shared" si="1"/>
        <v>1977.9839100000002</v>
      </c>
      <c r="P35" s="215">
        <f t="shared" si="3"/>
        <v>801.34752426056423</v>
      </c>
      <c r="Q35" s="215" cm="1">
        <f t="array" ref="Q35">IF(P35="-",0,P35/(1+'General inputs'!$H$32)^IFERROR(INDEX('MP Calculations'!$C$40:$C$130,MATCH(F35,'MP Calculations'!$D$40:$D$130,0),0),-1))</f>
        <v>2241.3716456522129</v>
      </c>
    </row>
    <row r="36" spans="3:17">
      <c r="C36" s="159"/>
      <c r="D36" s="165" t="s">
        <v>282</v>
      </c>
      <c r="E36" s="161">
        <v>35703</v>
      </c>
      <c r="F36" s="172" t="str">
        <f t="shared" si="0"/>
        <v>1997-98</v>
      </c>
      <c r="G36" s="68"/>
      <c r="H36" s="167" t="s">
        <v>293</v>
      </c>
      <c r="I36" s="173">
        <v>20414.77563211487</v>
      </c>
      <c r="J36" s="168">
        <f>IFERROR(MIN('MP Calculations'!$E$30/I36,1),"-")</f>
        <v>0.40513348981719682</v>
      </c>
      <c r="K36" s="12"/>
      <c r="L36" s="159">
        <v>32.999980000000001</v>
      </c>
      <c r="M36" s="159" t="s">
        <v>294</v>
      </c>
      <c r="N36" s="159">
        <v>511</v>
      </c>
      <c r="O36" s="185">
        <f t="shared" si="1"/>
        <v>16862.98978</v>
      </c>
      <c r="P36" s="215">
        <f t="shared" si="3"/>
        <v>6831.7618983231241</v>
      </c>
      <c r="Q36" s="215" cm="1">
        <f t="array" ref="Q36">IF(P36="-",0,P36/(1+'General inputs'!$H$32)^IFERROR(INDEX('MP Calculations'!$C$40:$C$130,MATCH(F36,'MP Calculations'!$D$40:$D$130,0),0),-1))</f>
        <v>19108.460368524964</v>
      </c>
    </row>
    <row r="37" spans="3:17">
      <c r="C37" s="159"/>
      <c r="D37" s="165" t="s">
        <v>288</v>
      </c>
      <c r="E37" s="161">
        <v>36636</v>
      </c>
      <c r="F37" s="172" t="str">
        <f t="shared" si="0"/>
        <v>1999-00</v>
      </c>
      <c r="G37" s="68"/>
      <c r="H37" s="167" t="s">
        <v>293</v>
      </c>
      <c r="I37" s="173">
        <v>20414.77563211487</v>
      </c>
      <c r="J37" s="168">
        <f>IFERROR(MIN('MP Calculations'!$E$30/I37,1),"-")</f>
        <v>0.40513348981719682</v>
      </c>
      <c r="K37" s="12"/>
      <c r="L37" s="159">
        <v>19.142275999999999</v>
      </c>
      <c r="M37" s="159" t="s">
        <v>294</v>
      </c>
      <c r="N37" s="159">
        <v>726</v>
      </c>
      <c r="O37" s="185">
        <f t="shared" si="1"/>
        <v>13897.292375999999</v>
      </c>
      <c r="P37" s="215">
        <f t="shared" si="3"/>
        <v>5630.2585592988025</v>
      </c>
      <c r="Q37" s="215" cm="1">
        <f t="array" ref="Q37">IF(P37="-",0,P37/(1+'General inputs'!$H$32)^IFERROR(INDEX('MP Calculations'!$C$40:$C$130,MATCH(F37,'MP Calculations'!$D$40:$D$130,0),0),-1))</f>
        <v>14503.936030780562</v>
      </c>
    </row>
    <row r="38" spans="3:17">
      <c r="C38" s="159"/>
      <c r="D38" s="165" t="s">
        <v>281</v>
      </c>
      <c r="E38" s="161">
        <v>36636</v>
      </c>
      <c r="F38" s="172" t="str">
        <f t="shared" si="0"/>
        <v>1999-00</v>
      </c>
      <c r="G38" s="68"/>
      <c r="H38" s="167" t="s">
        <v>293</v>
      </c>
      <c r="I38" s="173">
        <v>20414.77563211487</v>
      </c>
      <c r="J38" s="168">
        <f>IFERROR(MIN('MP Calculations'!$E$30/I38,1),"-")</f>
        <v>0.40513348981719682</v>
      </c>
      <c r="K38" s="12"/>
      <c r="L38" s="159">
        <v>2.0133299999999998</v>
      </c>
      <c r="M38" s="159" t="s">
        <v>294</v>
      </c>
      <c r="N38" s="159">
        <v>350</v>
      </c>
      <c r="O38" s="185">
        <f t="shared" si="1"/>
        <v>704.66549999999995</v>
      </c>
      <c r="P38" s="215">
        <f t="shared" si="3"/>
        <v>285.48359316877986</v>
      </c>
      <c r="Q38" s="215" cm="1">
        <f t="array" ref="Q38">IF(P38="-",0,P38/(1+'General inputs'!$H$32)^IFERROR(INDEX('MP Calculations'!$C$40:$C$130,MATCH(F38,'MP Calculations'!$D$40:$D$130,0),0),-1))</f>
        <v>735.4255101337734</v>
      </c>
    </row>
    <row r="39" spans="3:17">
      <c r="C39" s="159"/>
      <c r="D39" s="165" t="s">
        <v>281</v>
      </c>
      <c r="E39" s="161">
        <v>36636</v>
      </c>
      <c r="F39" s="172" t="str">
        <f t="shared" si="0"/>
        <v>1999-00</v>
      </c>
      <c r="G39" s="68"/>
      <c r="H39" s="167" t="s">
        <v>293</v>
      </c>
      <c r="I39" s="173">
        <v>20414.77563211487</v>
      </c>
      <c r="J39" s="168">
        <f>IFERROR(MIN('MP Calculations'!$E$30/I39,1),"-")</f>
        <v>0.40513348981719682</v>
      </c>
      <c r="K39" s="12"/>
      <c r="L39" s="159">
        <v>0.56831799999999999</v>
      </c>
      <c r="M39" s="159" t="s">
        <v>294</v>
      </c>
      <c r="N39" s="159">
        <v>350</v>
      </c>
      <c r="O39" s="185">
        <f t="shared" si="1"/>
        <v>198.91129999999998</v>
      </c>
      <c r="P39" s="215">
        <f t="shared" si="3"/>
        <v>80.585629133075372</v>
      </c>
      <c r="Q39" s="215" cm="1">
        <f t="array" ref="Q39">IF(P39="-",0,P39/(1+'General inputs'!$H$32)^IFERROR(INDEX('MP Calculations'!$C$40:$C$130,MATCH(F39,'MP Calculations'!$D$40:$D$130,0),0),-1))</f>
        <v>207.5941624414308</v>
      </c>
    </row>
    <row r="40" spans="3:17">
      <c r="C40" s="159"/>
      <c r="D40" s="165" t="s">
        <v>288</v>
      </c>
      <c r="E40" s="161">
        <v>36636</v>
      </c>
      <c r="F40" s="172" t="str">
        <f t="shared" si="0"/>
        <v>1999-00</v>
      </c>
      <c r="G40" s="68"/>
      <c r="H40" s="167" t="s">
        <v>293</v>
      </c>
      <c r="I40" s="173">
        <v>20414.77563211487</v>
      </c>
      <c r="J40" s="168">
        <f>IFERROR(MIN('MP Calculations'!$E$30/I40,1),"-")</f>
        <v>0.40513348981719682</v>
      </c>
      <c r="K40" s="12"/>
      <c r="L40" s="159">
        <v>46.650055999999999</v>
      </c>
      <c r="M40" s="159" t="s">
        <v>294</v>
      </c>
      <c r="N40" s="159">
        <v>726</v>
      </c>
      <c r="O40" s="185">
        <f t="shared" si="1"/>
        <v>33867.940655999999</v>
      </c>
      <c r="P40" s="215">
        <f t="shared" si="3"/>
        <v>13721.036990887002</v>
      </c>
      <c r="Q40" s="215" cm="1">
        <f t="array" ref="Q40">IF(P40="-",0,P40/(1+'General inputs'!$H$32)^IFERROR(INDEX('MP Calculations'!$C$40:$C$130,MATCH(F40,'MP Calculations'!$D$40:$D$130,0),0),-1))</f>
        <v>35346.341681434904</v>
      </c>
    </row>
    <row r="41" spans="3:17">
      <c r="C41" s="159"/>
      <c r="D41" s="165" t="s">
        <v>288</v>
      </c>
      <c r="E41" s="161">
        <v>36636</v>
      </c>
      <c r="F41" s="172" t="str">
        <f t="shared" si="0"/>
        <v>1999-00</v>
      </c>
      <c r="G41" s="68"/>
      <c r="H41" s="167" t="s">
        <v>293</v>
      </c>
      <c r="I41" s="173">
        <v>20414.77563211487</v>
      </c>
      <c r="J41" s="168">
        <f>IFERROR(MIN('MP Calculations'!$E$30/I41,1),"-")</f>
        <v>0.40513348981719682</v>
      </c>
      <c r="K41" s="12"/>
      <c r="L41" s="159">
        <v>27.727809000000001</v>
      </c>
      <c r="M41" s="159" t="s">
        <v>294</v>
      </c>
      <c r="N41" s="159">
        <v>726</v>
      </c>
      <c r="O41" s="185">
        <f t="shared" si="1"/>
        <v>20130.389334</v>
      </c>
      <c r="P41" s="215">
        <f t="shared" si="3"/>
        <v>8155.4948822622964</v>
      </c>
      <c r="Q41" s="215" cm="1">
        <f t="array" ref="Q41">IF(P41="-",0,P41/(1+'General inputs'!$H$32)^IFERROR(INDEX('MP Calculations'!$C$40:$C$130,MATCH(F41,'MP Calculations'!$D$40:$D$130,0),0),-1))</f>
        <v>21009.119710200688</v>
      </c>
    </row>
    <row r="42" spans="3:17">
      <c r="C42" s="159"/>
      <c r="D42" s="165" t="s">
        <v>281</v>
      </c>
      <c r="E42" s="161">
        <v>37105</v>
      </c>
      <c r="F42" s="172" t="str">
        <f t="shared" si="0"/>
        <v>2001-02</v>
      </c>
      <c r="G42" s="68"/>
      <c r="H42" s="167" t="s">
        <v>293</v>
      </c>
      <c r="I42" s="173">
        <v>20414.77563211487</v>
      </c>
      <c r="J42" s="168">
        <f>IFERROR(MIN('MP Calculations'!$E$30/I42,1),"-")</f>
        <v>0.40513348981719682</v>
      </c>
      <c r="K42" s="12"/>
      <c r="L42" s="159">
        <v>0.30068600000000001</v>
      </c>
      <c r="M42" s="159" t="s">
        <v>294</v>
      </c>
      <c r="N42" s="159">
        <v>350</v>
      </c>
      <c r="O42" s="185">
        <f t="shared" si="1"/>
        <v>105.2401</v>
      </c>
      <c r="P42" s="215">
        <f t="shared" si="3"/>
        <v>42.636288981710777</v>
      </c>
      <c r="Q42" s="215" cm="1">
        <f t="array" ref="Q42">IF(P42="-",0,P42/(1+'General inputs'!$H$32)^IFERROR(INDEX('MP Calculations'!$C$40:$C$130,MATCH(F42,'MP Calculations'!$D$40:$D$130,0),0),-1))</f>
        <v>101.15829373220969</v>
      </c>
    </row>
    <row r="43" spans="3:17">
      <c r="C43" s="159"/>
      <c r="D43" s="165" t="s">
        <v>281</v>
      </c>
      <c r="E43" s="161">
        <v>37105</v>
      </c>
      <c r="F43" s="172" t="str">
        <f t="shared" si="0"/>
        <v>2001-02</v>
      </c>
      <c r="G43" s="68"/>
      <c r="H43" s="167" t="s">
        <v>293</v>
      </c>
      <c r="I43" s="173">
        <v>20414.77563211487</v>
      </c>
      <c r="J43" s="168">
        <f>IFERROR(MIN('MP Calculations'!$E$30/I43,1),"-")</f>
        <v>0.40513348981719682</v>
      </c>
      <c r="K43" s="12"/>
      <c r="L43" s="159">
        <v>27.693092</v>
      </c>
      <c r="M43" s="159" t="s">
        <v>294</v>
      </c>
      <c r="N43" s="159">
        <v>350</v>
      </c>
      <c r="O43" s="185">
        <f t="shared" si="1"/>
        <v>9692.5822000000007</v>
      </c>
      <c r="P43" s="215">
        <f t="shared" si="3"/>
        <v>3926.7896520260433</v>
      </c>
      <c r="Q43" s="215" cm="1">
        <f t="array" ref="Q43">IF(P43="-",0,P43/(1+'General inputs'!$H$32)^IFERROR(INDEX('MP Calculations'!$C$40:$C$130,MATCH(F43,'MP Calculations'!$D$40:$D$130,0),0),-1))</f>
        <v>9316.6490454796913</v>
      </c>
    </row>
    <row r="44" spans="3:17">
      <c r="C44" s="159"/>
      <c r="D44" s="165" t="s">
        <v>281</v>
      </c>
      <c r="E44" s="161">
        <v>37105</v>
      </c>
      <c r="F44" s="172" t="str">
        <f t="shared" si="0"/>
        <v>2001-02</v>
      </c>
      <c r="G44" s="68"/>
      <c r="H44" s="167" t="s">
        <v>293</v>
      </c>
      <c r="I44" s="173">
        <v>20414.77563211487</v>
      </c>
      <c r="J44" s="168">
        <f>IFERROR(MIN('MP Calculations'!$E$30/I44,1),"-")</f>
        <v>0.40513348981719682</v>
      </c>
      <c r="K44" s="12"/>
      <c r="L44" s="159">
        <v>52.937792999999999</v>
      </c>
      <c r="M44" s="159" t="s">
        <v>294</v>
      </c>
      <c r="N44" s="159">
        <v>350</v>
      </c>
      <c r="O44" s="185">
        <f t="shared" si="1"/>
        <v>18528.22755</v>
      </c>
      <c r="P44" s="215">
        <f t="shared" si="3"/>
        <v>7506.4054874586309</v>
      </c>
      <c r="Q44" s="215" cm="1">
        <f t="array" ref="Q44">IF(P44="-",0,P44/(1+'General inputs'!$H$32)^IFERROR(INDEX('MP Calculations'!$C$40:$C$130,MATCH(F44,'MP Calculations'!$D$40:$D$130,0),0),-1))</f>
        <v>17809.598098444603</v>
      </c>
    </row>
    <row r="45" spans="3:17">
      <c r="C45" s="159"/>
      <c r="D45" s="165" t="s">
        <v>281</v>
      </c>
      <c r="E45" s="161">
        <v>37105</v>
      </c>
      <c r="F45" s="172" t="str">
        <f t="shared" si="0"/>
        <v>2001-02</v>
      </c>
      <c r="G45" s="68"/>
      <c r="H45" s="167" t="s">
        <v>293</v>
      </c>
      <c r="I45" s="173">
        <v>20414.77563211487</v>
      </c>
      <c r="J45" s="168">
        <f>IFERROR(MIN('MP Calculations'!$E$30/I45,1),"-")</f>
        <v>0.40513348981719682</v>
      </c>
      <c r="K45" s="12"/>
      <c r="L45" s="159">
        <v>2.2680210000000001</v>
      </c>
      <c r="M45" s="159" t="s">
        <v>294</v>
      </c>
      <c r="N45" s="159">
        <v>350</v>
      </c>
      <c r="O45" s="185">
        <f t="shared" si="1"/>
        <v>793.80735000000004</v>
      </c>
      <c r="P45" s="215">
        <f t="shared" si="3"/>
        <v>321.59794194804101</v>
      </c>
      <c r="Q45" s="215" cm="1">
        <f t="array" ref="Q45">IF(P45="-",0,P45/(1+'General inputs'!$H$32)^IFERROR(INDEX('MP Calculations'!$C$40:$C$130,MATCH(F45,'MP Calculations'!$D$40:$D$130,0),0),-1))</f>
        <v>763.01901155630776</v>
      </c>
    </row>
    <row r="46" spans="3:17">
      <c r="C46" s="159"/>
      <c r="D46" s="165" t="s">
        <v>281</v>
      </c>
      <c r="E46" s="161">
        <v>37105</v>
      </c>
      <c r="F46" s="172" t="str">
        <f t="shared" si="0"/>
        <v>2001-02</v>
      </c>
      <c r="G46" s="68"/>
      <c r="H46" s="167" t="s">
        <v>293</v>
      </c>
      <c r="I46" s="173">
        <v>20414.77563211487</v>
      </c>
      <c r="J46" s="168">
        <f>IFERROR(MIN('MP Calculations'!$E$30/I46,1),"-")</f>
        <v>0.40513348981719682</v>
      </c>
      <c r="K46" s="12"/>
      <c r="L46" s="159">
        <v>1.811987</v>
      </c>
      <c r="M46" s="159" t="s">
        <v>294</v>
      </c>
      <c r="N46" s="159">
        <v>350</v>
      </c>
      <c r="O46" s="185">
        <f t="shared" si="1"/>
        <v>634.19545000000005</v>
      </c>
      <c r="P46" s="215">
        <f t="shared" si="3"/>
        <v>256.93381588468759</v>
      </c>
      <c r="Q46" s="215" cm="1">
        <f t="array" ref="Q46">IF(P46="-",0,P46/(1+'General inputs'!$H$32)^IFERROR(INDEX('MP Calculations'!$C$40:$C$130,MATCH(F46,'MP Calculations'!$D$40:$D$130,0),0),-1))</f>
        <v>609.59776373008867</v>
      </c>
    </row>
    <row r="47" spans="3:17">
      <c r="C47" s="159"/>
      <c r="D47" s="165" t="s">
        <v>281</v>
      </c>
      <c r="E47" s="161">
        <v>37245</v>
      </c>
      <c r="F47" s="172" t="str">
        <f t="shared" si="0"/>
        <v>2001-02</v>
      </c>
      <c r="G47" s="68"/>
      <c r="H47" s="167" t="s">
        <v>293</v>
      </c>
      <c r="I47" s="173">
        <v>20414.77563211487</v>
      </c>
      <c r="J47" s="168">
        <f>IFERROR(MIN('MP Calculations'!$E$30/I47,1),"-")</f>
        <v>0.40513348981719682</v>
      </c>
      <c r="K47" s="12"/>
      <c r="L47" s="159">
        <v>12.028570999999999</v>
      </c>
      <c r="M47" s="159" t="s">
        <v>294</v>
      </c>
      <c r="N47" s="159">
        <v>350</v>
      </c>
      <c r="O47" s="185">
        <f t="shared" si="1"/>
        <v>4209.9998500000002</v>
      </c>
      <c r="P47" s="215">
        <f t="shared" si="3"/>
        <v>1705.6119313603751</v>
      </c>
      <c r="Q47" s="215" cm="1">
        <f t="array" ref="Q47">IF(P47="-",0,P47/(1+'General inputs'!$H$32)^IFERROR(INDEX('MP Calculations'!$C$40:$C$130,MATCH(F47,'MP Calculations'!$D$40:$D$130,0),0),-1))</f>
        <v>4046.7122459866409</v>
      </c>
    </row>
    <row r="48" spans="3:17">
      <c r="C48" s="159"/>
      <c r="D48" s="165" t="s">
        <v>281</v>
      </c>
      <c r="E48" s="161">
        <v>37245</v>
      </c>
      <c r="F48" s="172" t="str">
        <f t="shared" si="0"/>
        <v>2001-02</v>
      </c>
      <c r="G48" s="68"/>
      <c r="H48" s="167" t="s">
        <v>293</v>
      </c>
      <c r="I48" s="173">
        <v>20414.77563211487</v>
      </c>
      <c r="J48" s="168">
        <f>IFERROR(MIN('MP Calculations'!$E$30/I48,1),"-")</f>
        <v>0.40513348981719682</v>
      </c>
      <c r="K48" s="12"/>
      <c r="L48" s="159">
        <v>1.163762</v>
      </c>
      <c r="M48" s="159" t="s">
        <v>294</v>
      </c>
      <c r="N48" s="159">
        <v>350</v>
      </c>
      <c r="O48" s="185">
        <f t="shared" si="1"/>
        <v>407.31669999999997</v>
      </c>
      <c r="P48" s="215">
        <f t="shared" si="3"/>
        <v>165.01763613182419</v>
      </c>
      <c r="Q48" s="215" cm="1">
        <f t="array" ref="Q48">IF(P48="-",0,P48/(1+'General inputs'!$H$32)^IFERROR(INDEX('MP Calculations'!$C$40:$C$130,MATCH(F48,'MP Calculations'!$D$40:$D$130,0),0),-1))</f>
        <v>391.5186547773551</v>
      </c>
    </row>
    <row r="49" spans="3:17">
      <c r="C49" s="159"/>
      <c r="D49" s="165" t="s">
        <v>281</v>
      </c>
      <c r="E49" s="161">
        <v>37245</v>
      </c>
      <c r="F49" s="172" t="str">
        <f t="shared" si="0"/>
        <v>2001-02</v>
      </c>
      <c r="G49" s="68"/>
      <c r="H49" s="167" t="s">
        <v>293</v>
      </c>
      <c r="I49" s="173">
        <v>20414.77563211487</v>
      </c>
      <c r="J49" s="168">
        <f>IFERROR(MIN('MP Calculations'!$E$30/I49,1),"-")</f>
        <v>0.40513348981719682</v>
      </c>
      <c r="K49" s="12"/>
      <c r="L49" s="159">
        <v>38.271664000000001</v>
      </c>
      <c r="M49" s="159" t="s">
        <v>294</v>
      </c>
      <c r="N49" s="159">
        <v>350</v>
      </c>
      <c r="O49" s="185">
        <f t="shared" si="1"/>
        <v>13395.082400000001</v>
      </c>
      <c r="P49" s="215">
        <f t="shared" si="3"/>
        <v>5426.7964791009126</v>
      </c>
      <c r="Q49" s="215" cm="1">
        <f t="array" ref="Q49">IF(P49="-",0,P49/(1+'General inputs'!$H$32)^IFERROR(INDEX('MP Calculations'!$C$40:$C$130,MATCH(F49,'MP Calculations'!$D$40:$D$130,0),0),-1))</f>
        <v>12875.545348078844</v>
      </c>
    </row>
    <row r="50" spans="3:17">
      <c r="C50" s="159"/>
      <c r="D50" s="165" t="s">
        <v>281</v>
      </c>
      <c r="E50" s="161">
        <v>37245</v>
      </c>
      <c r="F50" s="172" t="str">
        <f t="shared" si="0"/>
        <v>2001-02</v>
      </c>
      <c r="G50" s="68"/>
      <c r="H50" s="167" t="s">
        <v>293</v>
      </c>
      <c r="I50" s="173">
        <v>20414.77563211487</v>
      </c>
      <c r="J50" s="168">
        <f>IFERROR(MIN('MP Calculations'!$E$30/I50,1),"-")</f>
        <v>0.40513348981719682</v>
      </c>
      <c r="K50" s="12"/>
      <c r="L50" s="159">
        <v>0.87958199999999997</v>
      </c>
      <c r="M50" s="159" t="s">
        <v>294</v>
      </c>
      <c r="N50" s="159">
        <v>350</v>
      </c>
      <c r="O50" s="185">
        <f t="shared" si="1"/>
        <v>307.8537</v>
      </c>
      <c r="P50" s="215">
        <f t="shared" si="3"/>
        <v>124.72184383413637</v>
      </c>
      <c r="Q50" s="215" cm="1">
        <f t="array" ref="Q50">IF(P50="-",0,P50/(1+'General inputs'!$H$32)^IFERROR(INDEX('MP Calculations'!$C$40:$C$130,MATCH(F50,'MP Calculations'!$D$40:$D$130,0),0),-1))</f>
        <v>295.91339243451461</v>
      </c>
    </row>
    <row r="51" spans="3:17">
      <c r="C51" s="159"/>
      <c r="D51" s="165" t="s">
        <v>281</v>
      </c>
      <c r="E51" s="161">
        <v>37245</v>
      </c>
      <c r="F51" s="172" t="str">
        <f t="shared" si="0"/>
        <v>2001-02</v>
      </c>
      <c r="G51" s="68"/>
      <c r="H51" s="167" t="s">
        <v>293</v>
      </c>
      <c r="I51" s="173">
        <v>20414.77563211487</v>
      </c>
      <c r="J51" s="168">
        <f>IFERROR(MIN('MP Calculations'!$E$30/I51,1),"-")</f>
        <v>0.40513348981719682</v>
      </c>
      <c r="K51" s="12"/>
      <c r="L51" s="159">
        <v>14.843273999999999</v>
      </c>
      <c r="M51" s="159" t="s">
        <v>294</v>
      </c>
      <c r="N51" s="159">
        <v>350</v>
      </c>
      <c r="O51" s="185">
        <f t="shared" si="1"/>
        <v>5195.1458999999995</v>
      </c>
      <c r="P51" s="215">
        <f t="shared" si="3"/>
        <v>2104.7275885765016</v>
      </c>
      <c r="Q51" s="215" cm="1">
        <f t="array" ref="Q51">IF(P51="-",0,P51/(1+'General inputs'!$H$32)^IFERROR(INDEX('MP Calculations'!$C$40:$C$130,MATCH(F51,'MP Calculations'!$D$40:$D$130,0),0),-1))</f>
        <v>4993.6487606329219</v>
      </c>
    </row>
    <row r="52" spans="3:17">
      <c r="C52" s="159"/>
      <c r="D52" s="165" t="s">
        <v>281</v>
      </c>
      <c r="E52" s="161">
        <v>37257</v>
      </c>
      <c r="F52" s="172" t="str">
        <f t="shared" si="0"/>
        <v>2001-02</v>
      </c>
      <c r="G52" s="68"/>
      <c r="H52" s="167" t="s">
        <v>293</v>
      </c>
      <c r="I52" s="173">
        <v>20414.77563211487</v>
      </c>
      <c r="J52" s="168">
        <f>IFERROR(MIN('MP Calculations'!$E$30/I52,1),"-")</f>
        <v>0.40513348981719682</v>
      </c>
      <c r="K52" s="12"/>
      <c r="L52" s="159">
        <v>0.43026199999999998</v>
      </c>
      <c r="M52" s="159" t="s">
        <v>294</v>
      </c>
      <c r="N52" s="159">
        <v>350</v>
      </c>
      <c r="O52" s="185">
        <f t="shared" si="1"/>
        <v>150.5917</v>
      </c>
      <c r="P52" s="215">
        <f t="shared" si="3"/>
        <v>61.009740958504359</v>
      </c>
      <c r="Q52" s="215" cm="1">
        <f t="array" ref="Q52">IF(P52="-",0,P52/(1+'General inputs'!$H$32)^IFERROR(INDEX('MP Calculations'!$C$40:$C$130,MATCH(F52,'MP Calculations'!$D$40:$D$130,0),0),-1))</f>
        <v>144.75090219633771</v>
      </c>
    </row>
    <row r="53" spans="3:17">
      <c r="C53" s="159"/>
      <c r="D53" s="165" t="s">
        <v>281</v>
      </c>
      <c r="E53" s="161">
        <v>37257</v>
      </c>
      <c r="F53" s="172" t="str">
        <f t="shared" si="0"/>
        <v>2001-02</v>
      </c>
      <c r="G53" s="68"/>
      <c r="H53" s="167" t="s">
        <v>293</v>
      </c>
      <c r="I53" s="173">
        <v>20414.77563211487</v>
      </c>
      <c r="J53" s="168">
        <f>IFERROR(MIN('MP Calculations'!$E$30/I53,1),"-")</f>
        <v>0.40513348981719682</v>
      </c>
      <c r="K53" s="12"/>
      <c r="L53" s="159">
        <v>218.49777499999999</v>
      </c>
      <c r="M53" s="159" t="s">
        <v>294</v>
      </c>
      <c r="N53" s="159">
        <v>350</v>
      </c>
      <c r="O53" s="185">
        <f t="shared" si="1"/>
        <v>76474.221250000002</v>
      </c>
      <c r="P53" s="215">
        <f t="shared" si="3"/>
        <v>30982.268136064933</v>
      </c>
      <c r="Q53" s="215" cm="1">
        <f t="array" ref="Q53">IF(P53="-",0,P53/(1+'General inputs'!$H$32)^IFERROR(INDEX('MP Calculations'!$C$40:$C$130,MATCH(F53,'MP Calculations'!$D$40:$D$130,0),0),-1))</f>
        <v>73508.118446765933</v>
      </c>
    </row>
    <row r="54" spans="3:17">
      <c r="C54" s="159"/>
      <c r="D54" s="165" t="s">
        <v>291</v>
      </c>
      <c r="E54" s="161">
        <v>37581</v>
      </c>
      <c r="F54" s="172" t="str">
        <f t="shared" si="0"/>
        <v>2002-03</v>
      </c>
      <c r="G54" s="68"/>
      <c r="H54" s="167" t="s">
        <v>293</v>
      </c>
      <c r="I54" s="173">
        <v>20414.77563211487</v>
      </c>
      <c r="J54" s="168">
        <f>IFERROR(MIN('MP Calculations'!$E$30/I54,1),"-")</f>
        <v>0.40513348981719682</v>
      </c>
      <c r="K54" s="12"/>
      <c r="L54" s="159">
        <v>0.99958499999999995</v>
      </c>
      <c r="M54" s="159" t="s">
        <v>294</v>
      </c>
      <c r="N54" s="159">
        <v>589</v>
      </c>
      <c r="O54" s="185">
        <f t="shared" si="1"/>
        <v>588.75556499999993</v>
      </c>
      <c r="P54" s="215">
        <f t="shared" si="3"/>
        <v>238.52459669774544</v>
      </c>
      <c r="Q54" s="215" cm="1">
        <f t="array" ref="Q54">IF(P54="-",0,P54/(1+'General inputs'!$H$32)^IFERROR(INDEX('MP Calculations'!$C$40:$C$130,MATCH(F54,'MP Calculations'!$D$40:$D$130,0),0),-1))</f>
        <v>543.10968757923229</v>
      </c>
    </row>
    <row r="55" spans="3:17">
      <c r="C55" s="159"/>
      <c r="D55" s="165" t="s">
        <v>281</v>
      </c>
      <c r="E55" s="161">
        <v>37581</v>
      </c>
      <c r="F55" s="172" t="str">
        <f t="shared" si="0"/>
        <v>2002-03</v>
      </c>
      <c r="G55" s="68"/>
      <c r="H55" s="167" t="s">
        <v>293</v>
      </c>
      <c r="I55" s="173">
        <v>20414.77563211487</v>
      </c>
      <c r="J55" s="168">
        <f>IFERROR(MIN('MP Calculations'!$E$30/I55,1),"-")</f>
        <v>0.40513348981719682</v>
      </c>
      <c r="K55" s="12"/>
      <c r="L55" s="159">
        <v>21.675595000000001</v>
      </c>
      <c r="M55" s="159" t="s">
        <v>294</v>
      </c>
      <c r="N55" s="159">
        <v>350</v>
      </c>
      <c r="O55" s="185">
        <f t="shared" si="1"/>
        <v>7586.4582500000006</v>
      </c>
      <c r="P55" s="215">
        <f t="shared" si="3"/>
        <v>3073.5283061749642</v>
      </c>
      <c r="Q55" s="215" cm="1">
        <f t="array" ref="Q55">IF(P55="-",0,P55/(1+'General inputs'!$H$32)^IFERROR(INDEX('MP Calculations'!$C$40:$C$130,MATCH(F55,'MP Calculations'!$D$40:$D$130,0),0),-1))</f>
        <v>6998.2845427378516</v>
      </c>
    </row>
    <row r="56" spans="3:17">
      <c r="C56" s="159"/>
      <c r="D56" s="165" t="s">
        <v>291</v>
      </c>
      <c r="E56" s="161">
        <v>37581</v>
      </c>
      <c r="F56" s="172" t="str">
        <f t="shared" si="0"/>
        <v>2002-03</v>
      </c>
      <c r="G56" s="68"/>
      <c r="H56" s="167" t="s">
        <v>293</v>
      </c>
      <c r="I56" s="173">
        <v>20414.77563211487</v>
      </c>
      <c r="J56" s="168">
        <f>IFERROR(MIN('MP Calculations'!$E$30/I56,1),"-")</f>
        <v>0.40513348981719682</v>
      </c>
      <c r="K56" s="12"/>
      <c r="L56" s="159">
        <v>53.437280000000001</v>
      </c>
      <c r="M56" s="159" t="s">
        <v>294</v>
      </c>
      <c r="N56" s="159">
        <v>589</v>
      </c>
      <c r="O56" s="185">
        <f t="shared" si="1"/>
        <v>31474.557919999999</v>
      </c>
      <c r="P56" s="215">
        <f t="shared" si="3"/>
        <v>12751.397490583091</v>
      </c>
      <c r="Q56" s="215" cm="1">
        <f t="array" ref="Q56">IF(P56="-",0,P56/(1+'General inputs'!$H$32)^IFERROR(INDEX('MP Calculations'!$C$40:$C$130,MATCH(F56,'MP Calculations'!$D$40:$D$130,0),0),-1))</f>
        <v>29034.353702670571</v>
      </c>
    </row>
    <row r="57" spans="3:17">
      <c r="C57" s="159"/>
      <c r="D57" s="165" t="s">
        <v>291</v>
      </c>
      <c r="E57" s="161">
        <v>37581</v>
      </c>
      <c r="F57" s="172" t="str">
        <f t="shared" si="0"/>
        <v>2002-03</v>
      </c>
      <c r="G57" s="68"/>
      <c r="H57" s="167" t="s">
        <v>293</v>
      </c>
      <c r="I57" s="173">
        <v>20414.77563211487</v>
      </c>
      <c r="J57" s="168">
        <f>IFERROR(MIN('MP Calculations'!$E$30/I57,1),"-")</f>
        <v>0.40513348981719682</v>
      </c>
      <c r="K57" s="12"/>
      <c r="L57" s="159">
        <v>45.919092999999997</v>
      </c>
      <c r="M57" s="159" t="s">
        <v>294</v>
      </c>
      <c r="N57" s="159">
        <v>589</v>
      </c>
      <c r="O57" s="185">
        <f t="shared" si="1"/>
        <v>27046.345776999999</v>
      </c>
      <c r="P57" s="215">
        <f t="shared" si="3"/>
        <v>10957.380451438614</v>
      </c>
      <c r="Q57" s="215" cm="1">
        <f t="array" ref="Q57">IF(P57="-",0,P57/(1+'General inputs'!$H$32)^IFERROR(INDEX('MP Calculations'!$C$40:$C$130,MATCH(F57,'MP Calculations'!$D$40:$D$130,0),0),-1))</f>
        <v>24949.458278337224</v>
      </c>
    </row>
    <row r="58" spans="3:17">
      <c r="C58" s="159"/>
      <c r="D58" s="165" t="s">
        <v>281</v>
      </c>
      <c r="E58" s="161">
        <v>37581</v>
      </c>
      <c r="F58" s="172" t="str">
        <f t="shared" si="0"/>
        <v>2002-03</v>
      </c>
      <c r="G58" s="68"/>
      <c r="H58" s="167" t="s">
        <v>293</v>
      </c>
      <c r="I58" s="173">
        <v>20414.77563211487</v>
      </c>
      <c r="J58" s="168">
        <f>IFERROR(MIN('MP Calculations'!$E$30/I58,1),"-")</f>
        <v>0.40513348981719682</v>
      </c>
      <c r="K58" s="12"/>
      <c r="L58" s="159">
        <v>0.36132300000000001</v>
      </c>
      <c r="M58" s="159" t="s">
        <v>294</v>
      </c>
      <c r="N58" s="159">
        <v>350</v>
      </c>
      <c r="O58" s="185">
        <f t="shared" si="1"/>
        <v>126.46305</v>
      </c>
      <c r="P58" s="215">
        <f t="shared" si="3"/>
        <v>51.234416779426653</v>
      </c>
      <c r="Q58" s="215" cm="1">
        <f t="array" ref="Q58">IF(P58="-",0,P58/(1+'General inputs'!$H$32)^IFERROR(INDEX('MP Calculations'!$C$40:$C$130,MATCH(F58,'MP Calculations'!$D$40:$D$130,0),0),-1))</f>
        <v>116.65844309398051</v>
      </c>
    </row>
    <row r="59" spans="3:17">
      <c r="C59" s="159"/>
      <c r="D59" s="165" t="s">
        <v>291</v>
      </c>
      <c r="E59" s="161">
        <v>37581</v>
      </c>
      <c r="F59" s="172" t="str">
        <f t="shared" si="0"/>
        <v>2002-03</v>
      </c>
      <c r="G59" s="68"/>
      <c r="H59" s="167" t="s">
        <v>293</v>
      </c>
      <c r="I59" s="173">
        <v>20414.77563211487</v>
      </c>
      <c r="J59" s="168">
        <f>IFERROR(MIN('MP Calculations'!$E$30/I59,1),"-")</f>
        <v>0.40513348981719682</v>
      </c>
      <c r="K59" s="12"/>
      <c r="L59" s="159">
        <v>36.664549000000001</v>
      </c>
      <c r="M59" s="159" t="s">
        <v>294</v>
      </c>
      <c r="N59" s="159">
        <v>589</v>
      </c>
      <c r="O59" s="185">
        <f t="shared" si="1"/>
        <v>21595.419361</v>
      </c>
      <c r="P59" s="215">
        <f t="shared" si="3"/>
        <v>8749.0276097877886</v>
      </c>
      <c r="Q59" s="215" cm="1">
        <f t="array" ref="Q59">IF(P59="-",0,P59/(1+'General inputs'!$H$32)^IFERROR(INDEX('MP Calculations'!$C$40:$C$130,MATCH(F59,'MP Calculations'!$D$40:$D$130,0),0),-1))</f>
        <v>19921.139025318964</v>
      </c>
    </row>
    <row r="60" spans="3:17">
      <c r="C60" s="159"/>
      <c r="D60" s="165" t="s">
        <v>291</v>
      </c>
      <c r="E60" s="161">
        <v>37581</v>
      </c>
      <c r="F60" s="172" t="str">
        <f t="shared" si="0"/>
        <v>2002-03</v>
      </c>
      <c r="G60" s="68"/>
      <c r="H60" s="167" t="s">
        <v>293</v>
      </c>
      <c r="I60" s="173">
        <v>20414.77563211487</v>
      </c>
      <c r="J60" s="168">
        <f>IFERROR(MIN('MP Calculations'!$E$30/I60,1),"-")</f>
        <v>0.40513348981719682</v>
      </c>
      <c r="K60" s="12"/>
      <c r="L60" s="159">
        <v>18.195609000000001</v>
      </c>
      <c r="M60" s="159" t="s">
        <v>294</v>
      </c>
      <c r="N60" s="159">
        <v>589</v>
      </c>
      <c r="O60" s="185">
        <f t="shared" si="1"/>
        <v>10717.213701000001</v>
      </c>
      <c r="P60" s="215">
        <f t="shared" si="3"/>
        <v>4341.9021878028061</v>
      </c>
      <c r="Q60" s="215" cm="1">
        <f t="array" ref="Q60">IF(P60="-",0,P60/(1+'General inputs'!$H$32)^IFERROR(INDEX('MP Calculations'!$C$40:$C$130,MATCH(F60,'MP Calculations'!$D$40:$D$130,0),0),-1))</f>
        <v>9886.3143397548683</v>
      </c>
    </row>
    <row r="61" spans="3:17">
      <c r="C61" s="159"/>
      <c r="D61" s="165" t="s">
        <v>281</v>
      </c>
      <c r="E61" s="161">
        <v>37581</v>
      </c>
      <c r="F61" s="172" t="str">
        <f t="shared" si="0"/>
        <v>2002-03</v>
      </c>
      <c r="G61" s="68"/>
      <c r="H61" s="167" t="s">
        <v>293</v>
      </c>
      <c r="I61" s="173">
        <v>20414.77563211487</v>
      </c>
      <c r="J61" s="168">
        <f>IFERROR(MIN('MP Calculations'!$E$30/I61,1),"-")</f>
        <v>0.40513348981719682</v>
      </c>
      <c r="K61" s="12"/>
      <c r="L61" s="159">
        <v>117.71025899999999</v>
      </c>
      <c r="M61" s="159" t="s">
        <v>294</v>
      </c>
      <c r="N61" s="159">
        <v>350</v>
      </c>
      <c r="O61" s="185">
        <f t="shared" si="1"/>
        <v>41198.590649999998</v>
      </c>
      <c r="P61" s="215">
        <f t="shared" si="3"/>
        <v>16690.928805584634</v>
      </c>
      <c r="Q61" s="215" cm="1">
        <f t="array" ref="Q61">IF(P61="-",0,P61/(1+'General inputs'!$H$32)^IFERROR(INDEX('MP Calculations'!$C$40:$C$130,MATCH(F61,'MP Calculations'!$D$40:$D$130,0),0),-1))</f>
        <v>38004.487815968554</v>
      </c>
    </row>
    <row r="62" spans="3:17">
      <c r="C62" s="159"/>
      <c r="D62" s="165" t="s">
        <v>291</v>
      </c>
      <c r="E62" s="161">
        <v>37581</v>
      </c>
      <c r="F62" s="172" t="str">
        <f t="shared" si="0"/>
        <v>2002-03</v>
      </c>
      <c r="G62" s="68"/>
      <c r="H62" s="167" t="s">
        <v>293</v>
      </c>
      <c r="I62" s="173">
        <v>20414.77563211487</v>
      </c>
      <c r="J62" s="168">
        <f>IFERROR(MIN('MP Calculations'!$E$30/I62,1),"-")</f>
        <v>0.40513348981719682</v>
      </c>
      <c r="K62" s="12"/>
      <c r="L62" s="159">
        <v>1.5867039999999999</v>
      </c>
      <c r="M62" s="159" t="s">
        <v>294</v>
      </c>
      <c r="N62" s="159">
        <v>589</v>
      </c>
      <c r="O62" s="185">
        <f t="shared" si="1"/>
        <v>934.56865599999992</v>
      </c>
      <c r="P62" s="215">
        <f t="shared" si="3"/>
        <v>378.62506107904727</v>
      </c>
      <c r="Q62" s="215" cm="1">
        <f t="array" ref="Q62">IF(P62="-",0,P62/(1+'General inputs'!$H$32)^IFERROR(INDEX('MP Calculations'!$C$40:$C$130,MATCH(F62,'MP Calculations'!$D$40:$D$130,0),0),-1))</f>
        <v>862.11209023816707</v>
      </c>
    </row>
    <row r="63" spans="3:17">
      <c r="C63" s="159"/>
      <c r="D63" s="165" t="s">
        <v>281</v>
      </c>
      <c r="E63" s="161">
        <v>37581</v>
      </c>
      <c r="F63" s="172" t="str">
        <f t="shared" si="0"/>
        <v>2002-03</v>
      </c>
      <c r="G63" s="68"/>
      <c r="H63" s="167" t="s">
        <v>293</v>
      </c>
      <c r="I63" s="173">
        <v>20414.77563211487</v>
      </c>
      <c r="J63" s="168">
        <f>IFERROR(MIN('MP Calculations'!$E$30/I63,1),"-")</f>
        <v>0.40513348981719682</v>
      </c>
      <c r="K63" s="12"/>
      <c r="L63" s="159">
        <v>0.23436699999999999</v>
      </c>
      <c r="M63" s="159" t="s">
        <v>294</v>
      </c>
      <c r="N63" s="159">
        <v>350</v>
      </c>
      <c r="O63" s="185">
        <f t="shared" si="1"/>
        <v>82.028449999999992</v>
      </c>
      <c r="P63" s="215">
        <f t="shared" si="3"/>
        <v>33.232472212795436</v>
      </c>
      <c r="Q63" s="215" cm="1">
        <f t="array" ref="Q63">IF(P63="-",0,P63/(1+'General inputs'!$H$32)^IFERROR(INDEX('MP Calculations'!$C$40:$C$130,MATCH(F63,'MP Calculations'!$D$40:$D$130,0),0),-1))</f>
        <v>75.66883185572722</v>
      </c>
    </row>
    <row r="64" spans="3:17">
      <c r="C64" s="159"/>
      <c r="D64" s="165" t="s">
        <v>281</v>
      </c>
      <c r="E64" s="161">
        <v>37581</v>
      </c>
      <c r="F64" s="172" t="str">
        <f t="shared" si="0"/>
        <v>2002-03</v>
      </c>
      <c r="G64" s="68"/>
      <c r="H64" s="167" t="s">
        <v>293</v>
      </c>
      <c r="I64" s="173">
        <v>20414.77563211487</v>
      </c>
      <c r="J64" s="168">
        <f>IFERROR(MIN('MP Calculations'!$E$30/I64,1),"-")</f>
        <v>0.40513348981719682</v>
      </c>
      <c r="K64" s="12"/>
      <c r="L64" s="159">
        <v>1.5008330000000001</v>
      </c>
      <c r="M64" s="159" t="s">
        <v>294</v>
      </c>
      <c r="N64" s="159">
        <v>350</v>
      </c>
      <c r="O64" s="185">
        <f t="shared" si="1"/>
        <v>525.29155000000003</v>
      </c>
      <c r="P64" s="215">
        <f t="shared" si="3"/>
        <v>212.81319882298456</v>
      </c>
      <c r="Q64" s="215" cm="1">
        <f t="array" ref="Q64">IF(P64="-",0,P64/(1+'General inputs'!$H$32)^IFERROR(INDEX('MP Calculations'!$C$40:$C$130,MATCH(F64,'MP Calculations'!$D$40:$D$130,0),0),-1))</f>
        <v>484.56600084707605</v>
      </c>
    </row>
    <row r="65" spans="3:17">
      <c r="C65" s="159"/>
      <c r="D65" s="165" t="s">
        <v>291</v>
      </c>
      <c r="E65" s="161">
        <v>37581</v>
      </c>
      <c r="F65" s="172" t="str">
        <f t="shared" si="0"/>
        <v>2002-03</v>
      </c>
      <c r="G65" s="68"/>
      <c r="H65" s="167" t="s">
        <v>293</v>
      </c>
      <c r="I65" s="173">
        <v>20414.77563211487</v>
      </c>
      <c r="J65" s="168">
        <f>IFERROR(MIN('MP Calculations'!$E$30/I65,1),"-")</f>
        <v>0.40513348981719682</v>
      </c>
      <c r="K65" s="12"/>
      <c r="L65" s="159">
        <v>4.4966039999999996</v>
      </c>
      <c r="M65" s="159" t="s">
        <v>294</v>
      </c>
      <c r="N65" s="159">
        <v>589</v>
      </c>
      <c r="O65" s="185">
        <f t="shared" si="1"/>
        <v>2648.4997559999997</v>
      </c>
      <c r="P65" s="215">
        <f t="shared" si="3"/>
        <v>1072.9959489282742</v>
      </c>
      <c r="Q65" s="215" cm="1">
        <f t="array" ref="Q65">IF(P65="-",0,P65/(1+'General inputs'!$H$32)^IFERROR(INDEX('MP Calculations'!$C$40:$C$130,MATCH(F65,'MP Calculations'!$D$40:$D$130,0),0),-1))</f>
        <v>2443.1631062966394</v>
      </c>
    </row>
    <row r="66" spans="3:17">
      <c r="C66" s="159"/>
      <c r="D66" s="165" t="s">
        <v>291</v>
      </c>
      <c r="E66" s="161">
        <v>37581</v>
      </c>
      <c r="F66" s="172" t="str">
        <f t="shared" si="0"/>
        <v>2002-03</v>
      </c>
      <c r="G66" s="68"/>
      <c r="H66" s="167" t="s">
        <v>293</v>
      </c>
      <c r="I66" s="173">
        <v>20414.77563211487</v>
      </c>
      <c r="J66" s="168">
        <f>IFERROR(MIN('MP Calculations'!$E$30/I66,1),"-")</f>
        <v>0.40513348981719682</v>
      </c>
      <c r="K66" s="12"/>
      <c r="L66" s="159">
        <v>89.650124000000005</v>
      </c>
      <c r="M66" s="159" t="s">
        <v>294</v>
      </c>
      <c r="N66" s="159">
        <v>589</v>
      </c>
      <c r="O66" s="185">
        <f t="shared" si="1"/>
        <v>52803.923036</v>
      </c>
      <c r="P66" s="215">
        <f t="shared" si="3"/>
        <v>21392.637615613352</v>
      </c>
      <c r="Q66" s="215" cm="1">
        <f t="array" ref="Q66">IF(P66="-",0,P66/(1+'General inputs'!$H$32)^IFERROR(INDEX('MP Calculations'!$C$40:$C$130,MATCH(F66,'MP Calculations'!$D$40:$D$130,0),0),-1))</f>
        <v>48710.065514267866</v>
      </c>
    </row>
    <row r="67" spans="3:17">
      <c r="C67" s="159"/>
      <c r="D67" s="165" t="s">
        <v>296</v>
      </c>
      <c r="E67" s="161">
        <v>37890</v>
      </c>
      <c r="F67" s="172" t="str">
        <f t="shared" si="0"/>
        <v>2003-04</v>
      </c>
      <c r="G67" s="68"/>
      <c r="H67" s="167" t="s">
        <v>293</v>
      </c>
      <c r="I67" s="173">
        <v>20414.77563211487</v>
      </c>
      <c r="J67" s="168">
        <f>IFERROR(MIN('MP Calculations'!$E$30/I67,1),"-")</f>
        <v>0.40513348981719682</v>
      </c>
      <c r="K67" s="12"/>
      <c r="L67" s="159">
        <v>1</v>
      </c>
      <c r="M67" s="159" t="s">
        <v>295</v>
      </c>
      <c r="N67" s="159">
        <v>5410.28</v>
      </c>
      <c r="O67" s="185">
        <f t="shared" si="1"/>
        <v>5410.28</v>
      </c>
      <c r="P67" s="215">
        <f t="shared" si="3"/>
        <v>2191.8856172881833</v>
      </c>
      <c r="Q67" s="215" cm="1">
        <f t="array" ref="Q67">IF(P67="-",0,P67/(1+'General inputs'!$H$32)^IFERROR(INDEX('MP Calculations'!$C$40:$C$130,MATCH(F67,'MP Calculations'!$D$40:$D$130,0),0),-1))</f>
        <v>4789.6584741573806</v>
      </c>
    </row>
    <row r="68" spans="3:17">
      <c r="C68" s="159"/>
      <c r="D68" s="165" t="s">
        <v>291</v>
      </c>
      <c r="E68" s="161">
        <v>37894</v>
      </c>
      <c r="F68" s="172" t="str">
        <f t="shared" si="0"/>
        <v>2003-04</v>
      </c>
      <c r="G68" s="68"/>
      <c r="H68" s="167" t="s">
        <v>293</v>
      </c>
      <c r="I68" s="173">
        <v>20414.77563211487</v>
      </c>
      <c r="J68" s="168">
        <f>IFERROR(MIN('MP Calculations'!$E$30/I68,1),"-")</f>
        <v>0.40513348981719682</v>
      </c>
      <c r="K68" s="12"/>
      <c r="L68" s="159">
        <v>1.8995120000000001</v>
      </c>
      <c r="M68" s="159" t="s">
        <v>294</v>
      </c>
      <c r="N68" s="159">
        <v>589</v>
      </c>
      <c r="O68" s="185">
        <f t="shared" si="1"/>
        <v>1118.8125680000001</v>
      </c>
      <c r="P68" s="215">
        <f t="shared" si="3"/>
        <v>453.26844012517984</v>
      </c>
      <c r="Q68" s="215" cm="1">
        <f t="array" ref="Q68">IF(P68="-",0,P68/(1+'General inputs'!$H$32)^IFERROR(INDEX('MP Calculations'!$C$40:$C$130,MATCH(F68,'MP Calculations'!$D$40:$D$130,0),0),-1))</f>
        <v>990.47186047949117</v>
      </c>
    </row>
    <row r="69" spans="3:17">
      <c r="C69" s="159"/>
      <c r="D69" s="165" t="s">
        <v>291</v>
      </c>
      <c r="E69" s="161">
        <v>37894</v>
      </c>
      <c r="F69" s="172" t="str">
        <f t="shared" si="0"/>
        <v>2003-04</v>
      </c>
      <c r="G69" s="68"/>
      <c r="H69" s="167" t="s">
        <v>293</v>
      </c>
      <c r="I69" s="173">
        <v>20414.77563211487</v>
      </c>
      <c r="J69" s="168">
        <f>IFERROR(MIN('MP Calculations'!$E$30/I69,1),"-")</f>
        <v>0.40513348981719682</v>
      </c>
      <c r="K69" s="12"/>
      <c r="L69" s="159">
        <v>71.376020999999994</v>
      </c>
      <c r="M69" s="159" t="s">
        <v>294</v>
      </c>
      <c r="N69" s="159">
        <v>589</v>
      </c>
      <c r="O69" s="185">
        <f t="shared" si="1"/>
        <v>42040.476368999996</v>
      </c>
      <c r="P69" s="215">
        <f t="shared" si="3"/>
        <v>17032.004904950365</v>
      </c>
      <c r="Q69" s="215" cm="1">
        <f t="array" ref="Q69">IF(P69="-",0,P69/(1+'General inputs'!$H$32)^IFERROR(INDEX('MP Calculations'!$C$40:$C$130,MATCH(F69,'MP Calculations'!$D$40:$D$130,0),0),-1))</f>
        <v>37217.948774997596</v>
      </c>
    </row>
    <row r="70" spans="3:17">
      <c r="C70" s="159"/>
      <c r="D70" s="165" t="s">
        <v>291</v>
      </c>
      <c r="E70" s="161">
        <v>37894</v>
      </c>
      <c r="F70" s="172" t="str">
        <f t="shared" si="0"/>
        <v>2003-04</v>
      </c>
      <c r="G70" s="68"/>
      <c r="H70" s="167" t="s">
        <v>293</v>
      </c>
      <c r="I70" s="173">
        <v>20414.77563211487</v>
      </c>
      <c r="J70" s="168">
        <f>IFERROR(MIN('MP Calculations'!$E$30/I70,1),"-")</f>
        <v>0.40513348981719682</v>
      </c>
      <c r="K70" s="12"/>
      <c r="L70" s="159">
        <v>24.502583999999999</v>
      </c>
      <c r="M70" s="159" t="s">
        <v>294</v>
      </c>
      <c r="N70" s="159">
        <v>589</v>
      </c>
      <c r="O70" s="185">
        <f t="shared" si="1"/>
        <v>14432.021976</v>
      </c>
      <c r="P70" s="215">
        <f t="shared" si="3"/>
        <v>5846.8954282553568</v>
      </c>
      <c r="Q70" s="215" cm="1">
        <f t="array" ref="Q70">IF(P70="-",0,P70/(1+'General inputs'!$H$32)^IFERROR(INDEX('MP Calculations'!$C$40:$C$130,MATCH(F70,'MP Calculations'!$D$40:$D$130,0),0),-1))</f>
        <v>12776.502575943197</v>
      </c>
    </row>
    <row r="71" spans="3:17">
      <c r="C71" s="159"/>
      <c r="D71" s="165" t="s">
        <v>281</v>
      </c>
      <c r="E71" s="161">
        <v>37894</v>
      </c>
      <c r="F71" s="172" t="str">
        <f t="shared" si="0"/>
        <v>2003-04</v>
      </c>
      <c r="G71" s="68"/>
      <c r="H71" s="167" t="s">
        <v>293</v>
      </c>
      <c r="I71" s="173">
        <v>20414.77563211487</v>
      </c>
      <c r="J71" s="168">
        <f>IFERROR(MIN('MP Calculations'!$E$30/I71,1),"-")</f>
        <v>0.40513348981719682</v>
      </c>
      <c r="K71" s="12"/>
      <c r="L71" s="159">
        <v>0.599441</v>
      </c>
      <c r="M71" s="159" t="s">
        <v>294</v>
      </c>
      <c r="N71" s="159">
        <v>350</v>
      </c>
      <c r="O71" s="185">
        <f t="shared" si="1"/>
        <v>209.80435</v>
      </c>
      <c r="P71" s="215">
        <f t="shared" si="3"/>
        <v>84.998768494328601</v>
      </c>
      <c r="Q71" s="215" cm="1">
        <f t="array" ref="Q71">IF(P71="-",0,P71/(1+'General inputs'!$H$32)^IFERROR(INDEX('MP Calculations'!$C$40:$C$130,MATCH(F71,'MP Calculations'!$D$40:$D$130,0),0),-1))</f>
        <v>185.73737087407329</v>
      </c>
    </row>
    <row r="72" spans="3:17">
      <c r="C72" s="159"/>
      <c r="D72" s="165" t="s">
        <v>281</v>
      </c>
      <c r="E72" s="161">
        <v>37904</v>
      </c>
      <c r="F72" s="172" t="str">
        <f t="shared" si="0"/>
        <v>2003-04</v>
      </c>
      <c r="G72" s="68"/>
      <c r="H72" s="167" t="s">
        <v>293</v>
      </c>
      <c r="I72" s="173">
        <v>20414.77563211487</v>
      </c>
      <c r="J72" s="168">
        <f>IFERROR(MIN('MP Calculations'!$E$30/I72,1),"-")</f>
        <v>0.40513348981719682</v>
      </c>
      <c r="K72" s="12"/>
      <c r="L72" s="159">
        <v>4.2777139999999996</v>
      </c>
      <c r="M72" s="159" t="s">
        <v>294</v>
      </c>
      <c r="N72" s="159">
        <v>350</v>
      </c>
      <c r="O72" s="185">
        <f t="shared" si="1"/>
        <v>1497.1998999999998</v>
      </c>
      <c r="P72" s="215">
        <f t="shared" si="3"/>
        <v>606.56582044095808</v>
      </c>
      <c r="Q72" s="215" cm="1">
        <f t="array" ref="Q72">IF(P72="-",0,P72/(1+'General inputs'!$H$32)^IFERROR(INDEX('MP Calculations'!$C$40:$C$130,MATCH(F72,'MP Calculations'!$D$40:$D$130,0),0),-1))</f>
        <v>1325.4538006429582</v>
      </c>
    </row>
    <row r="73" spans="3:17">
      <c r="C73" s="159"/>
      <c r="D73" s="165" t="s">
        <v>297</v>
      </c>
      <c r="E73" s="161">
        <v>37964</v>
      </c>
      <c r="F73" s="172" t="str">
        <f t="shared" si="0"/>
        <v>2003-04</v>
      </c>
      <c r="G73" s="68"/>
      <c r="H73" s="167" t="s">
        <v>293</v>
      </c>
      <c r="I73" s="173">
        <v>20414.77563211487</v>
      </c>
      <c r="J73" s="168">
        <f>IFERROR(MIN('MP Calculations'!$E$30/I73,1),"-")</f>
        <v>0.40513348981719682</v>
      </c>
      <c r="K73" s="12"/>
      <c r="L73" s="159">
        <v>1</v>
      </c>
      <c r="M73" s="159" t="s">
        <v>295</v>
      </c>
      <c r="N73" s="159">
        <v>645.54</v>
      </c>
      <c r="O73" s="185">
        <f t="shared" si="1"/>
        <v>645.54</v>
      </c>
      <c r="P73" s="215">
        <f t="shared" si="3"/>
        <v>261.52987301659323</v>
      </c>
      <c r="Q73" s="215" cm="1">
        <f t="array" ref="Q73">IF(P73="-",0,P73/(1+'General inputs'!$H$32)^IFERROR(INDEX('MP Calculations'!$C$40:$C$130,MATCH(F73,'MP Calculations'!$D$40:$D$130,0),0),-1))</f>
        <v>571.48911542610654</v>
      </c>
    </row>
    <row r="74" spans="3:17">
      <c r="C74" s="159"/>
      <c r="D74" s="165" t="s">
        <v>298</v>
      </c>
      <c r="E74" s="161">
        <v>38107</v>
      </c>
      <c r="F74" s="172" t="str">
        <f t="shared" si="0"/>
        <v>2003-04</v>
      </c>
      <c r="G74" s="68"/>
      <c r="H74" s="167" t="s">
        <v>293</v>
      </c>
      <c r="I74" s="173">
        <v>20414.77563211487</v>
      </c>
      <c r="J74" s="168">
        <f>IFERROR(MIN('MP Calculations'!$E$30/I74,1),"-")</f>
        <v>0.40513348981719682</v>
      </c>
      <c r="K74" s="12"/>
      <c r="L74" s="159">
        <v>1</v>
      </c>
      <c r="M74" s="159" t="s">
        <v>295</v>
      </c>
      <c r="N74" s="159">
        <v>36920.18</v>
      </c>
      <c r="O74" s="185">
        <f t="shared" si="1"/>
        <v>36920.18</v>
      </c>
      <c r="P74" s="215">
        <f t="shared" si="3"/>
        <v>14957.601368079075</v>
      </c>
      <c r="Q74" s="215" cm="1">
        <f t="array" ref="Q74">IF(P74="-",0,P74/(1+'General inputs'!$H$32)^IFERROR(INDEX('MP Calculations'!$C$40:$C$130,MATCH(F74,'MP Calculations'!$D$40:$D$130,0),0),-1))</f>
        <v>32685.009464282048</v>
      </c>
    </row>
    <row r="75" spans="3:17">
      <c r="C75" s="159"/>
      <c r="D75" s="165" t="s">
        <v>281</v>
      </c>
      <c r="E75" s="161">
        <v>38169</v>
      </c>
      <c r="F75" s="172" t="str">
        <f t="shared" si="0"/>
        <v>2004-05</v>
      </c>
      <c r="G75" s="68"/>
      <c r="H75" s="167" t="s">
        <v>293</v>
      </c>
      <c r="I75" s="173">
        <v>20414.77563211487</v>
      </c>
      <c r="J75" s="168">
        <f>IFERROR(MIN('MP Calculations'!$E$30/I75,1),"-")</f>
        <v>0.40513348981719682</v>
      </c>
      <c r="K75" s="12"/>
      <c r="L75" s="159">
        <v>8.4983249999999995</v>
      </c>
      <c r="M75" s="159" t="s">
        <v>294</v>
      </c>
      <c r="N75" s="159">
        <v>350</v>
      </c>
      <c r="O75" s="185">
        <f t="shared" si="1"/>
        <v>2974.4137499999997</v>
      </c>
      <c r="P75" s="215">
        <f t="shared" si="3"/>
        <v>1205.0346226977551</v>
      </c>
      <c r="Q75" s="215" cm="1">
        <f t="array" ref="Q75">IF(P75="-",0,P75/(1+'General inputs'!$H$32)^IFERROR(INDEX('MP Calculations'!$C$40:$C$130,MATCH(F75,'MP Calculations'!$D$40:$D$130,0),0),-1))</f>
        <v>2527.0769498736681</v>
      </c>
    </row>
    <row r="76" spans="3:17">
      <c r="C76" s="159"/>
      <c r="D76" s="165" t="s">
        <v>281</v>
      </c>
      <c r="E76" s="161">
        <v>38169</v>
      </c>
      <c r="F76" s="172" t="str">
        <f t="shared" si="0"/>
        <v>2004-05</v>
      </c>
      <c r="G76" s="68"/>
      <c r="H76" s="167" t="s">
        <v>293</v>
      </c>
      <c r="I76" s="173">
        <v>20414.77563211487</v>
      </c>
      <c r="J76" s="168">
        <f>IFERROR(MIN('MP Calculations'!$E$30/I76,1),"-")</f>
        <v>0.40513348981719682</v>
      </c>
      <c r="K76" s="12"/>
      <c r="L76" s="159">
        <v>0.50400400000000001</v>
      </c>
      <c r="M76" s="159" t="s">
        <v>294</v>
      </c>
      <c r="N76" s="159">
        <v>350</v>
      </c>
      <c r="O76" s="185">
        <f t="shared" si="1"/>
        <v>176.4014</v>
      </c>
      <c r="P76" s="215">
        <f t="shared" si="3"/>
        <v>71.466114790639267</v>
      </c>
      <c r="Q76" s="215" cm="1">
        <f t="array" ref="Q76">IF(P76="-",0,P76/(1+'General inputs'!$H$32)^IFERROR(INDEX('MP Calculations'!$C$40:$C$130,MATCH(F76,'MP Calculations'!$D$40:$D$130,0),0),-1))</f>
        <v>149.87152068720934</v>
      </c>
    </row>
    <row r="77" spans="3:17">
      <c r="C77" s="159"/>
      <c r="D77" s="165" t="s">
        <v>281</v>
      </c>
      <c r="E77" s="161">
        <v>38196</v>
      </c>
      <c r="F77" s="172" t="str">
        <f t="shared" si="0"/>
        <v>2004-05</v>
      </c>
      <c r="G77" s="68"/>
      <c r="H77" s="167" t="s">
        <v>293</v>
      </c>
      <c r="I77" s="173">
        <v>20414.77563211487</v>
      </c>
      <c r="J77" s="168">
        <f>IFERROR(MIN('MP Calculations'!$E$30/I77,1),"-")</f>
        <v>0.40513348981719682</v>
      </c>
      <c r="K77" s="12"/>
      <c r="L77" s="159">
        <v>34.452095999999997</v>
      </c>
      <c r="M77" s="159" t="s">
        <v>294</v>
      </c>
      <c r="N77" s="159">
        <v>350</v>
      </c>
      <c r="O77" s="185">
        <f t="shared" si="1"/>
        <v>12058.2336</v>
      </c>
      <c r="P77" s="215">
        <f t="shared" si="3"/>
        <v>4885.1942593989806</v>
      </c>
      <c r="Q77" s="215" cm="1">
        <f t="array" ref="Q77">IF(P77="-",0,P77/(1+'General inputs'!$H$32)^IFERROR(INDEX('MP Calculations'!$C$40:$C$130,MATCH(F77,'MP Calculations'!$D$40:$D$130,0),0),-1))</f>
        <v>10244.736189359057</v>
      </c>
    </row>
    <row r="78" spans="3:17">
      <c r="C78" s="159"/>
      <c r="D78" s="165" t="s">
        <v>281</v>
      </c>
      <c r="E78" s="161">
        <v>38196</v>
      </c>
      <c r="F78" s="172" t="str">
        <f t="shared" si="0"/>
        <v>2004-05</v>
      </c>
      <c r="G78" s="68"/>
      <c r="H78" s="167" t="s">
        <v>293</v>
      </c>
      <c r="I78" s="173">
        <v>20414.77563211487</v>
      </c>
      <c r="J78" s="168">
        <f>IFERROR(MIN('MP Calculations'!$E$30/I78,1),"-")</f>
        <v>0.40513348981719682</v>
      </c>
      <c r="K78" s="12"/>
      <c r="L78" s="159">
        <v>50.042918</v>
      </c>
      <c r="M78" s="159" t="s">
        <v>294</v>
      </c>
      <c r="N78" s="159">
        <v>350</v>
      </c>
      <c r="O78" s="185">
        <f t="shared" si="1"/>
        <v>17515.0213</v>
      </c>
      <c r="P78" s="215">
        <f t="shared" si="3"/>
        <v>7095.9217034915355</v>
      </c>
      <c r="Q78" s="215" cm="1">
        <f t="array" ref="Q78">IF(P78="-",0,P78/(1+'General inputs'!$H$32)^IFERROR(INDEX('MP Calculations'!$C$40:$C$130,MATCH(F78,'MP Calculations'!$D$40:$D$130,0),0),-1))</f>
        <v>14880.8505890535</v>
      </c>
    </row>
    <row r="79" spans="3:17">
      <c r="C79" s="159"/>
      <c r="D79" s="165" t="s">
        <v>281</v>
      </c>
      <c r="E79" s="161">
        <v>38196</v>
      </c>
      <c r="F79" s="172" t="str">
        <f t="shared" si="0"/>
        <v>2004-05</v>
      </c>
      <c r="G79" s="68"/>
      <c r="H79" s="167" t="s">
        <v>293</v>
      </c>
      <c r="I79" s="173">
        <v>20414.77563211487</v>
      </c>
      <c r="J79" s="168">
        <f>IFERROR(MIN('MP Calculations'!$E$30/I79,1),"-")</f>
        <v>0.40513348981719682</v>
      </c>
      <c r="K79" s="12"/>
      <c r="L79" s="159">
        <v>0.60248900000000005</v>
      </c>
      <c r="M79" s="159" t="s">
        <v>294</v>
      </c>
      <c r="N79" s="159">
        <v>350</v>
      </c>
      <c r="O79" s="185">
        <f t="shared" si="1"/>
        <v>210.87115000000003</v>
      </c>
      <c r="P79" s="215">
        <f t="shared" si="3"/>
        <v>85.430964901265597</v>
      </c>
      <c r="Q79" s="215" cm="1">
        <f t="array" ref="Q79">IF(P79="-",0,P79/(1+'General inputs'!$H$32)^IFERROR(INDEX('MP Calculations'!$C$40:$C$130,MATCH(F79,'MP Calculations'!$D$40:$D$130,0),0),-1))</f>
        <v>179.15719444154428</v>
      </c>
    </row>
    <row r="80" spans="3:17">
      <c r="C80" s="159"/>
      <c r="D80" s="165" t="s">
        <v>282</v>
      </c>
      <c r="E80" s="161">
        <v>38281</v>
      </c>
      <c r="F80" s="172" t="str">
        <f t="shared" si="0"/>
        <v>2004-05</v>
      </c>
      <c r="G80" s="68"/>
      <c r="H80" s="167" t="s">
        <v>293</v>
      </c>
      <c r="I80" s="173">
        <v>20414.77563211487</v>
      </c>
      <c r="J80" s="168">
        <f>IFERROR(MIN('MP Calculations'!$E$30/I80,1),"-")</f>
        <v>0.40513348981719682</v>
      </c>
      <c r="K80" s="12"/>
      <c r="L80" s="159">
        <v>15.022710999999999</v>
      </c>
      <c r="M80" s="159" t="s">
        <v>294</v>
      </c>
      <c r="N80" s="159">
        <v>511</v>
      </c>
      <c r="O80" s="185">
        <f t="shared" si="1"/>
        <v>7676.605321</v>
      </c>
      <c r="P80" s="215">
        <f t="shared" si="3"/>
        <v>3110.0499036459923</v>
      </c>
      <c r="Q80" s="215" cm="1">
        <f t="array" ref="Q80">IF(P80="-",0,P80/(1+'General inputs'!$H$32)^IFERROR(INDEX('MP Calculations'!$C$40:$C$130,MATCH(F80,'MP Calculations'!$D$40:$D$130,0),0),-1))</f>
        <v>6522.0826658620208</v>
      </c>
    </row>
    <row r="81" spans="3:17">
      <c r="C81" s="159"/>
      <c r="D81" s="165" t="s">
        <v>282</v>
      </c>
      <c r="E81" s="161">
        <v>38281</v>
      </c>
      <c r="F81" s="172" t="str">
        <f t="shared" si="0"/>
        <v>2004-05</v>
      </c>
      <c r="G81" s="68"/>
      <c r="H81" s="167" t="s">
        <v>293</v>
      </c>
      <c r="I81" s="173">
        <v>20414.77563211487</v>
      </c>
      <c r="J81" s="168">
        <f>IFERROR(MIN('MP Calculations'!$E$30/I81,1),"-")</f>
        <v>0.40513348981719682</v>
      </c>
      <c r="K81" s="12"/>
      <c r="L81" s="159">
        <v>8.002008</v>
      </c>
      <c r="M81" s="159" t="s">
        <v>294</v>
      </c>
      <c r="N81" s="159">
        <v>511</v>
      </c>
      <c r="O81" s="185">
        <f t="shared" si="1"/>
        <v>4089.0260880000001</v>
      </c>
      <c r="P81" s="215">
        <f t="shared" si="3"/>
        <v>1656.6014089850003</v>
      </c>
      <c r="Q81" s="215" cm="1">
        <f t="array" ref="Q81">IF(P81="-",0,P81/(1+'General inputs'!$H$32)^IFERROR(INDEX('MP Calculations'!$C$40:$C$130,MATCH(F81,'MP Calculations'!$D$40:$D$130,0),0),-1))</f>
        <v>3474.0572236854732</v>
      </c>
    </row>
    <row r="82" spans="3:17">
      <c r="C82" s="159"/>
      <c r="D82" s="165" t="s">
        <v>282</v>
      </c>
      <c r="E82" s="161">
        <v>38281</v>
      </c>
      <c r="F82" s="172" t="str">
        <f t="shared" si="0"/>
        <v>2004-05</v>
      </c>
      <c r="G82" s="68"/>
      <c r="H82" s="167" t="s">
        <v>293</v>
      </c>
      <c r="I82" s="173">
        <v>20414.77563211487</v>
      </c>
      <c r="J82" s="168">
        <f>IFERROR(MIN('MP Calculations'!$E$30/I82,1),"-")</f>
        <v>0.40513348981719682</v>
      </c>
      <c r="K82" s="12"/>
      <c r="L82" s="159">
        <v>104.363032</v>
      </c>
      <c r="M82" s="159" t="s">
        <v>294</v>
      </c>
      <c r="N82" s="159">
        <v>511</v>
      </c>
      <c r="O82" s="185">
        <f t="shared" si="1"/>
        <v>53329.509352000001</v>
      </c>
      <c r="P82" s="215">
        <f t="shared" si="3"/>
        <v>21605.570234014594</v>
      </c>
      <c r="Q82" s="215" cm="1">
        <f t="array" ref="Q82">IF(P82="-",0,P82/(1+'General inputs'!$H$32)^IFERROR(INDEX('MP Calculations'!$C$40:$C$130,MATCH(F82,'MP Calculations'!$D$40:$D$130,0),0),-1))</f>
        <v>45309.020586497565</v>
      </c>
    </row>
    <row r="83" spans="3:17">
      <c r="C83" s="159"/>
      <c r="D83" s="165" t="s">
        <v>282</v>
      </c>
      <c r="E83" s="161">
        <v>38281</v>
      </c>
      <c r="F83" s="172" t="str">
        <f t="shared" si="0"/>
        <v>2004-05</v>
      </c>
      <c r="G83" s="68"/>
      <c r="H83" s="167" t="s">
        <v>293</v>
      </c>
      <c r="I83" s="173">
        <v>20414.77563211487</v>
      </c>
      <c r="J83" s="168">
        <f>IFERROR(MIN('MP Calculations'!$E$30/I83,1),"-")</f>
        <v>0.40513348981719682</v>
      </c>
      <c r="K83" s="12"/>
      <c r="L83" s="159">
        <v>35.144832999999998</v>
      </c>
      <c r="M83" s="159" t="s">
        <v>294</v>
      </c>
      <c r="N83" s="159">
        <v>511</v>
      </c>
      <c r="O83" s="185">
        <f t="shared" si="1"/>
        <v>17959.009663000001</v>
      </c>
      <c r="P83" s="215">
        <f t="shared" si="3"/>
        <v>7275.7962584319503</v>
      </c>
      <c r="Q83" s="215" cm="1">
        <f t="array" ref="Q83">IF(P83="-",0,P83/(1+'General inputs'!$H$32)^IFERROR(INDEX('MP Calculations'!$C$40:$C$130,MATCH(F83,'MP Calculations'!$D$40:$D$130,0),0),-1))</f>
        <v>15258.065345456991</v>
      </c>
    </row>
    <row r="84" spans="3:17">
      <c r="C84" s="159"/>
      <c r="D84" s="165" t="s">
        <v>281</v>
      </c>
      <c r="E84" s="161">
        <v>38537</v>
      </c>
      <c r="F84" s="172" t="str">
        <f t="shared" si="0"/>
        <v>2005-06</v>
      </c>
      <c r="G84" s="68"/>
      <c r="H84" s="167" t="s">
        <v>293</v>
      </c>
      <c r="I84" s="173">
        <v>20414.77563211487</v>
      </c>
      <c r="J84" s="168">
        <f>IFERROR(MIN('MP Calculations'!$E$30/I84,1),"-")</f>
        <v>0.40513348981719682</v>
      </c>
      <c r="K84" s="12"/>
      <c r="L84" s="159">
        <v>1.2905759999999999</v>
      </c>
      <c r="M84" s="159" t="s">
        <v>294</v>
      </c>
      <c r="N84" s="159">
        <v>350</v>
      </c>
      <c r="O84" s="185">
        <f t="shared" si="1"/>
        <v>451.70159999999998</v>
      </c>
      <c r="P84" s="215">
        <f t="shared" si="3"/>
        <v>182.99944556401149</v>
      </c>
      <c r="Q84" s="215" cm="1">
        <f t="array" ref="Q84">IF(P84="-",0,P84/(1+'General inputs'!$H$32)^IFERROR(INDEX('MP Calculations'!$C$40:$C$130,MATCH(F84,'MP Calculations'!$D$40:$D$130,0),0),-1))</f>
        <v>368.29938726382733</v>
      </c>
    </row>
    <row r="85" spans="3:17">
      <c r="C85" s="159"/>
      <c r="D85" s="165" t="s">
        <v>281</v>
      </c>
      <c r="E85" s="161">
        <v>38537</v>
      </c>
      <c r="F85" s="172" t="str">
        <f t="shared" si="0"/>
        <v>2005-06</v>
      </c>
      <c r="G85" s="68"/>
      <c r="H85" s="167" t="s">
        <v>293</v>
      </c>
      <c r="I85" s="173">
        <v>20414.77563211487</v>
      </c>
      <c r="J85" s="168">
        <f>IFERROR(MIN('MP Calculations'!$E$30/I85,1),"-")</f>
        <v>0.40513348981719682</v>
      </c>
      <c r="K85" s="12"/>
      <c r="L85" s="159">
        <v>0.77037100000000003</v>
      </c>
      <c r="M85" s="159" t="s">
        <v>294</v>
      </c>
      <c r="N85" s="159">
        <v>350</v>
      </c>
      <c r="O85" s="185">
        <f t="shared" si="1"/>
        <v>269.62985000000003</v>
      </c>
      <c r="P85" s="215">
        <f t="shared" si="3"/>
        <v>109.23608208938732</v>
      </c>
      <c r="Q85" s="215" cm="1">
        <f t="array" ref="Q85">IF(P85="-",0,P85/(1+'General inputs'!$H$32)^IFERROR(INDEX('MP Calculations'!$C$40:$C$130,MATCH(F85,'MP Calculations'!$D$40:$D$130,0),0),-1))</f>
        <v>219.84537699896947</v>
      </c>
    </row>
    <row r="86" spans="3:17">
      <c r="C86" s="159"/>
      <c r="D86" s="165" t="s">
        <v>281</v>
      </c>
      <c r="E86" s="161">
        <v>38537</v>
      </c>
      <c r="F86" s="172" t="str">
        <f t="shared" ref="F86:F149" si="4">IF(E86="","-",IF(OR(E86&lt;$E$15,E86&gt;$E$16),"ERROR - date outside of range",IF(MONTH(E86)&gt;=7,YEAR(E86)&amp;"-"&amp;IF(YEAR(E86)=1999,"00",IF(AND(YEAR(E86)&gt;=2000,YEAR(E86)&lt;2009),"0","")&amp;RIGHT(YEAR(E86),2)+1),RIGHT(YEAR(E86),4)-1&amp;"-"&amp;RIGHT(YEAR(E86),2))))</f>
        <v>2005-06</v>
      </c>
      <c r="G86" s="68"/>
      <c r="H86" s="167" t="s">
        <v>293</v>
      </c>
      <c r="I86" s="173">
        <v>20414.77563211487</v>
      </c>
      <c r="J86" s="168">
        <f>IFERROR(MIN('MP Calculations'!$E$30/I86,1),"-")</f>
        <v>0.40513348981719682</v>
      </c>
      <c r="K86" s="12"/>
      <c r="L86" s="159">
        <v>5.7017860000000002</v>
      </c>
      <c r="M86" s="159" t="s">
        <v>294</v>
      </c>
      <c r="N86" s="159">
        <v>350</v>
      </c>
      <c r="O86" s="185">
        <f t="shared" ref="O86:O127" si="5">IF(N86="","-",L86*N86)</f>
        <v>1995.6251</v>
      </c>
      <c r="P86" s="215">
        <f t="shared" si="3"/>
        <v>808.49456112979237</v>
      </c>
      <c r="Q86" s="215" cm="1">
        <f t="array" ref="Q86">IF(P86="-",0,P86/(1+'General inputs'!$H$32)^IFERROR(INDEX('MP Calculations'!$C$40:$C$130,MATCH(F86,'MP Calculations'!$D$40:$D$130,0),0),-1))</f>
        <v>1627.1527520343391</v>
      </c>
    </row>
    <row r="87" spans="3:17">
      <c r="C87" s="159"/>
      <c r="D87" s="165" t="s">
        <v>281</v>
      </c>
      <c r="E87" s="161">
        <v>38537</v>
      </c>
      <c r="F87" s="172" t="str">
        <f t="shared" si="4"/>
        <v>2005-06</v>
      </c>
      <c r="G87" s="68"/>
      <c r="H87" s="167" t="s">
        <v>293</v>
      </c>
      <c r="I87" s="173">
        <v>20414.77563211487</v>
      </c>
      <c r="J87" s="168">
        <f>IFERROR(MIN('MP Calculations'!$E$30/I87,1),"-")</f>
        <v>0.40513348981719682</v>
      </c>
      <c r="K87" s="12"/>
      <c r="L87" s="159">
        <v>20.063448999999999</v>
      </c>
      <c r="M87" s="159" t="s">
        <v>294</v>
      </c>
      <c r="N87" s="159">
        <v>350</v>
      </c>
      <c r="O87" s="185">
        <f t="shared" si="5"/>
        <v>7022.2071499999993</v>
      </c>
      <c r="P87" s="215">
        <f t="shared" ref="P87:P150" si="6">IF(O87="-","-",IF(OR(E87&lt;$E$15,E87&gt;$E$16),0,O87*J87))</f>
        <v>2844.9312888987715</v>
      </c>
      <c r="Q87" s="215" cm="1">
        <f t="array" ref="Q87">IF(P87="-",0,P87/(1+'General inputs'!$H$32)^IFERROR(INDEX('MP Calculations'!$C$40:$C$130,MATCH(F87,'MP Calculations'!$D$40:$D$130,0),0),-1))</f>
        <v>5725.6263661334551</v>
      </c>
    </row>
    <row r="88" spans="3:17">
      <c r="C88" s="159"/>
      <c r="D88" s="165" t="s">
        <v>281</v>
      </c>
      <c r="E88" s="161">
        <v>38537</v>
      </c>
      <c r="F88" s="172" t="str">
        <f t="shared" si="4"/>
        <v>2005-06</v>
      </c>
      <c r="G88" s="68"/>
      <c r="H88" s="167" t="s">
        <v>293</v>
      </c>
      <c r="I88" s="173">
        <v>20414.77563211487</v>
      </c>
      <c r="J88" s="168">
        <f>IFERROR(MIN('MP Calculations'!$E$30/I88,1),"-")</f>
        <v>0.40513348981719682</v>
      </c>
      <c r="K88" s="12"/>
      <c r="L88" s="159">
        <v>0.40224599999999999</v>
      </c>
      <c r="M88" s="159" t="s">
        <v>294</v>
      </c>
      <c r="N88" s="159">
        <v>350</v>
      </c>
      <c r="O88" s="185">
        <f t="shared" si="5"/>
        <v>140.7861</v>
      </c>
      <c r="P88" s="215">
        <f t="shared" si="6"/>
        <v>57.037164010752853</v>
      </c>
      <c r="Q88" s="215" cm="1">
        <f t="array" ref="Q88">IF(P88="-",0,P88/(1+'General inputs'!$H$32)^IFERROR(INDEX('MP Calculations'!$C$40:$C$130,MATCH(F88,'MP Calculations'!$D$40:$D$130,0),0),-1))</f>
        <v>114.79134535999856</v>
      </c>
    </row>
    <row r="89" spans="3:17">
      <c r="C89" s="159"/>
      <c r="D89" s="165" t="s">
        <v>281</v>
      </c>
      <c r="E89" s="161">
        <v>38537</v>
      </c>
      <c r="F89" s="172" t="str">
        <f t="shared" si="4"/>
        <v>2005-06</v>
      </c>
      <c r="G89" s="68"/>
      <c r="H89" s="167" t="s">
        <v>293</v>
      </c>
      <c r="I89" s="173">
        <v>20414.77563211487</v>
      </c>
      <c r="J89" s="168">
        <f>IFERROR(MIN('MP Calculations'!$E$30/I89,1),"-")</f>
        <v>0.40513348981719682</v>
      </c>
      <c r="K89" s="12"/>
      <c r="L89" s="159">
        <v>3.157797</v>
      </c>
      <c r="M89" s="159" t="s">
        <v>294</v>
      </c>
      <c r="N89" s="159">
        <v>350</v>
      </c>
      <c r="O89" s="185">
        <f t="shared" si="5"/>
        <v>1105.2289499999999</v>
      </c>
      <c r="P89" s="215">
        <f t="shared" si="6"/>
        <v>447.76526156049613</v>
      </c>
      <c r="Q89" s="215" cm="1">
        <f t="array" ref="Q89">IF(P89="-",0,P89/(1+'General inputs'!$H$32)^IFERROR(INDEX('MP Calculations'!$C$40:$C$130,MATCH(F89,'MP Calculations'!$D$40:$D$130,0),0),-1))</f>
        <v>901.15940495062068</v>
      </c>
    </row>
    <row r="90" spans="3:17">
      <c r="C90" s="159"/>
      <c r="D90" s="165" t="s">
        <v>281</v>
      </c>
      <c r="E90" s="161">
        <v>38537</v>
      </c>
      <c r="F90" s="172" t="str">
        <f t="shared" si="4"/>
        <v>2005-06</v>
      </c>
      <c r="G90" s="68"/>
      <c r="H90" s="167" t="s">
        <v>293</v>
      </c>
      <c r="I90" s="173">
        <v>20414.77563211487</v>
      </c>
      <c r="J90" s="168">
        <f>IFERROR(MIN('MP Calculations'!$E$30/I90,1),"-")</f>
        <v>0.40513348981719682</v>
      </c>
      <c r="K90" s="12"/>
      <c r="L90" s="159">
        <v>1.289593</v>
      </c>
      <c r="M90" s="159" t="s">
        <v>294</v>
      </c>
      <c r="N90" s="159">
        <v>350</v>
      </c>
      <c r="O90" s="185">
        <f t="shared" si="5"/>
        <v>451.35755</v>
      </c>
      <c r="P90" s="215">
        <f t="shared" si="6"/>
        <v>182.86005938683991</v>
      </c>
      <c r="Q90" s="215" cm="1">
        <f t="array" ref="Q90">IF(P90="-",0,P90/(1+'General inputs'!$H$32)^IFERROR(INDEX('MP Calculations'!$C$40:$C$130,MATCH(F90,'MP Calculations'!$D$40:$D$130,0),0),-1))</f>
        <v>368.01886267815377</v>
      </c>
    </row>
    <row r="91" spans="3:17">
      <c r="C91" s="159"/>
      <c r="D91" s="165" t="s">
        <v>281</v>
      </c>
      <c r="E91" s="161">
        <v>38537</v>
      </c>
      <c r="F91" s="172" t="str">
        <f t="shared" si="4"/>
        <v>2005-06</v>
      </c>
      <c r="G91" s="68"/>
      <c r="H91" s="167" t="s">
        <v>293</v>
      </c>
      <c r="I91" s="173">
        <v>20414.77563211487</v>
      </c>
      <c r="J91" s="168">
        <f>IFERROR(MIN('MP Calculations'!$E$30/I91,1),"-")</f>
        <v>0.40513348981719682</v>
      </c>
      <c r="K91" s="12"/>
      <c r="L91" s="159">
        <v>0.26184200000000002</v>
      </c>
      <c r="M91" s="159" t="s">
        <v>294</v>
      </c>
      <c r="N91" s="159">
        <v>350</v>
      </c>
      <c r="O91" s="185">
        <f t="shared" si="5"/>
        <v>91.6447</v>
      </c>
      <c r="P91" s="215">
        <f t="shared" si="6"/>
        <v>37.12833713425006</v>
      </c>
      <c r="Q91" s="215" cm="1">
        <f t="array" ref="Q91">IF(P91="-",0,P91/(1+'General inputs'!$H$32)^IFERROR(INDEX('MP Calculations'!$C$40:$C$130,MATCH(F91,'MP Calculations'!$D$40:$D$130,0),0),-1))</f>
        <v>74.723416644920633</v>
      </c>
    </row>
    <row r="92" spans="3:17">
      <c r="C92" s="159"/>
      <c r="D92" s="165" t="s">
        <v>281</v>
      </c>
      <c r="E92" s="161">
        <v>38537</v>
      </c>
      <c r="F92" s="172" t="str">
        <f t="shared" si="4"/>
        <v>2005-06</v>
      </c>
      <c r="G92" s="68"/>
      <c r="H92" s="167" t="s">
        <v>293</v>
      </c>
      <c r="I92" s="173">
        <v>20414.77563211487</v>
      </c>
      <c r="J92" s="168">
        <f>IFERROR(MIN('MP Calculations'!$E$30/I92,1),"-")</f>
        <v>0.40513348981719682</v>
      </c>
      <c r="K92" s="12"/>
      <c r="L92" s="159">
        <v>4.3981009999999996</v>
      </c>
      <c r="M92" s="159" t="s">
        <v>294</v>
      </c>
      <c r="N92" s="159">
        <v>350</v>
      </c>
      <c r="O92" s="185">
        <f t="shared" si="5"/>
        <v>1539.3353499999998</v>
      </c>
      <c r="P92" s="215">
        <f t="shared" si="6"/>
        <v>623.63630234447601</v>
      </c>
      <c r="Q92" s="215" cm="1">
        <f t="array" ref="Q92">IF(P92="-",0,P92/(1+'General inputs'!$H$32)^IFERROR(INDEX('MP Calculations'!$C$40:$C$130,MATCH(F92,'MP Calculations'!$D$40:$D$130,0),0),-1))</f>
        <v>1255.1123710842494</v>
      </c>
    </row>
    <row r="93" spans="3:17">
      <c r="C93" s="159"/>
      <c r="D93" s="165" t="s">
        <v>281</v>
      </c>
      <c r="E93" s="161">
        <v>38537</v>
      </c>
      <c r="F93" s="172" t="str">
        <f t="shared" si="4"/>
        <v>2005-06</v>
      </c>
      <c r="G93" s="68"/>
      <c r="H93" s="167" t="s">
        <v>293</v>
      </c>
      <c r="I93" s="173">
        <v>20414.77563211487</v>
      </c>
      <c r="J93" s="168">
        <f>IFERROR(MIN('MP Calculations'!$E$30/I93,1),"-")</f>
        <v>0.40513348981719682</v>
      </c>
      <c r="K93" s="12"/>
      <c r="L93" s="159">
        <v>0.39999600000000002</v>
      </c>
      <c r="M93" s="159" t="s">
        <v>294</v>
      </c>
      <c r="N93" s="159">
        <v>350</v>
      </c>
      <c r="O93" s="185">
        <f t="shared" si="5"/>
        <v>139.99860000000001</v>
      </c>
      <c r="P93" s="215">
        <f t="shared" si="6"/>
        <v>56.718121387521812</v>
      </c>
      <c r="Q93" s="215" cm="1">
        <f t="array" ref="Q93">IF(P93="-",0,P93/(1+'General inputs'!$H$32)^IFERROR(INDEX('MP Calculations'!$C$40:$C$130,MATCH(F93,'MP Calculations'!$D$40:$D$130,0),0),-1))</f>
        <v>114.14924941110164</v>
      </c>
    </row>
    <row r="94" spans="3:17">
      <c r="C94" s="159"/>
      <c r="D94" s="165" t="s">
        <v>291</v>
      </c>
      <c r="E94" s="161">
        <v>38537</v>
      </c>
      <c r="F94" s="172" t="str">
        <f t="shared" si="4"/>
        <v>2005-06</v>
      </c>
      <c r="G94" s="68"/>
      <c r="H94" s="167" t="s">
        <v>293</v>
      </c>
      <c r="I94" s="173">
        <v>20414.77563211487</v>
      </c>
      <c r="J94" s="168">
        <f>IFERROR(MIN('MP Calculations'!$E$30/I94,1),"-")</f>
        <v>0.40513348981719682</v>
      </c>
      <c r="K94" s="12"/>
      <c r="L94" s="159">
        <v>214.40683799999999</v>
      </c>
      <c r="M94" s="159" t="s">
        <v>294</v>
      </c>
      <c r="N94" s="159">
        <v>589</v>
      </c>
      <c r="O94" s="185">
        <f t="shared" si="5"/>
        <v>126285.627582</v>
      </c>
      <c r="P94" s="215">
        <f t="shared" si="6"/>
        <v>51162.537016050504</v>
      </c>
      <c r="Q94" s="215" cm="1">
        <f t="array" ref="Q94">IF(P94="-",0,P94/(1+'General inputs'!$H$32)^IFERROR(INDEX('MP Calculations'!$C$40:$C$130,MATCH(F94,'MP Calculations'!$D$40:$D$130,0),0),-1))</f>
        <v>102968.24111023404</v>
      </c>
    </row>
    <row r="95" spans="3:17">
      <c r="C95" s="159"/>
      <c r="D95" s="165" t="s">
        <v>291</v>
      </c>
      <c r="E95" s="161">
        <v>38537</v>
      </c>
      <c r="F95" s="172" t="str">
        <f t="shared" si="4"/>
        <v>2005-06</v>
      </c>
      <c r="G95" s="68"/>
      <c r="H95" s="167" t="s">
        <v>293</v>
      </c>
      <c r="I95" s="173">
        <v>20414.77563211487</v>
      </c>
      <c r="J95" s="168">
        <f>IFERROR(MIN('MP Calculations'!$E$30/I95,1),"-")</f>
        <v>0.40513348981719682</v>
      </c>
      <c r="K95" s="12"/>
      <c r="L95" s="159">
        <v>206.420242</v>
      </c>
      <c r="M95" s="159" t="s">
        <v>294</v>
      </c>
      <c r="N95" s="159">
        <v>589</v>
      </c>
      <c r="O95" s="185">
        <f t="shared" si="5"/>
        <v>121581.522538</v>
      </c>
      <c r="P95" s="215">
        <f t="shared" si="6"/>
        <v>49256.746523108108</v>
      </c>
      <c r="Q95" s="215" cm="1">
        <f t="array" ref="Q95">IF(P95="-",0,P95/(1+'General inputs'!$H$32)^IFERROR(INDEX('MP Calculations'!$C$40:$C$130,MATCH(F95,'MP Calculations'!$D$40:$D$130,0),0),-1))</f>
        <v>99132.702326820669</v>
      </c>
    </row>
    <row r="96" spans="3:17">
      <c r="C96" s="159"/>
      <c r="D96" s="165" t="s">
        <v>291</v>
      </c>
      <c r="E96" s="161">
        <v>38537</v>
      </c>
      <c r="F96" s="172" t="str">
        <f t="shared" si="4"/>
        <v>2005-06</v>
      </c>
      <c r="G96" s="68"/>
      <c r="H96" s="167" t="s">
        <v>293</v>
      </c>
      <c r="I96" s="173">
        <v>20414.77563211487</v>
      </c>
      <c r="J96" s="168">
        <f>IFERROR(MIN('MP Calculations'!$E$30/I96,1),"-")</f>
        <v>0.40513348981719682</v>
      </c>
      <c r="K96" s="12"/>
      <c r="L96" s="159">
        <v>2.3565070000000001</v>
      </c>
      <c r="M96" s="159" t="s">
        <v>294</v>
      </c>
      <c r="N96" s="159">
        <v>589</v>
      </c>
      <c r="O96" s="185">
        <f t="shared" si="5"/>
        <v>1387.9826230000001</v>
      </c>
      <c r="P96" s="215">
        <f t="shared" si="6"/>
        <v>562.31824386161668</v>
      </c>
      <c r="Q96" s="215" cm="1">
        <f t="array" ref="Q96">IF(P96="-",0,P96/(1+'General inputs'!$H$32)^IFERROR(INDEX('MP Calculations'!$C$40:$C$130,MATCH(F96,'MP Calculations'!$D$40:$D$130,0),0),-1))</f>
        <v>1131.705421419229</v>
      </c>
    </row>
    <row r="97" spans="3:17">
      <c r="C97" s="159"/>
      <c r="D97" s="165" t="s">
        <v>282</v>
      </c>
      <c r="E97" s="161">
        <v>38537</v>
      </c>
      <c r="F97" s="172" t="str">
        <f t="shared" si="4"/>
        <v>2005-06</v>
      </c>
      <c r="G97" s="68"/>
      <c r="H97" s="167" t="s">
        <v>293</v>
      </c>
      <c r="I97" s="173">
        <v>20414.77563211487</v>
      </c>
      <c r="J97" s="168">
        <f>IFERROR(MIN('MP Calculations'!$E$30/I97,1),"-")</f>
        <v>0.40513348981719682</v>
      </c>
      <c r="K97" s="12"/>
      <c r="L97" s="159">
        <v>1.895713</v>
      </c>
      <c r="M97" s="159" t="s">
        <v>294</v>
      </c>
      <c r="N97" s="159">
        <v>511</v>
      </c>
      <c r="O97" s="185">
        <f t="shared" si="5"/>
        <v>968.70934299999999</v>
      </c>
      <c r="P97" s="215">
        <f t="shared" si="6"/>
        <v>392.4565967481139</v>
      </c>
      <c r="Q97" s="215" cm="1">
        <f t="array" ref="Q97">IF(P97="-",0,P97/(1+'General inputs'!$H$32)^IFERROR(INDEX('MP Calculations'!$C$40:$C$130,MATCH(F97,'MP Calculations'!$D$40:$D$130,0),0),-1))</f>
        <v>789.84678704623752</v>
      </c>
    </row>
    <row r="98" spans="3:17">
      <c r="C98" s="159"/>
      <c r="D98" s="165" t="s">
        <v>291</v>
      </c>
      <c r="E98" s="161">
        <v>38537</v>
      </c>
      <c r="F98" s="172" t="str">
        <f t="shared" si="4"/>
        <v>2005-06</v>
      </c>
      <c r="G98" s="68"/>
      <c r="H98" s="167" t="s">
        <v>293</v>
      </c>
      <c r="I98" s="173">
        <v>20414.77563211487</v>
      </c>
      <c r="J98" s="168">
        <f>IFERROR(MIN('MP Calculations'!$E$30/I98,1),"-")</f>
        <v>0.40513348981719682</v>
      </c>
      <c r="K98" s="12"/>
      <c r="L98" s="159">
        <v>1.1031310000000001</v>
      </c>
      <c r="M98" s="159" t="s">
        <v>294</v>
      </c>
      <c r="N98" s="159">
        <v>589</v>
      </c>
      <c r="O98" s="185">
        <f t="shared" si="5"/>
        <v>649.74415900000008</v>
      </c>
      <c r="P98" s="215">
        <f t="shared" si="6"/>
        <v>263.23311862400965</v>
      </c>
      <c r="Q98" s="215" cm="1">
        <f t="array" ref="Q98">IF(P98="-",0,P98/(1+'General inputs'!$H$32)^IFERROR(INDEX('MP Calculations'!$C$40:$C$130,MATCH(F98,'MP Calculations'!$D$40:$D$130,0),0),-1))</f>
        <v>529.77535531853516</v>
      </c>
    </row>
    <row r="99" spans="3:17">
      <c r="C99" s="159"/>
      <c r="D99" s="165" t="s">
        <v>291</v>
      </c>
      <c r="E99" s="161">
        <v>38537</v>
      </c>
      <c r="F99" s="172" t="str">
        <f t="shared" si="4"/>
        <v>2005-06</v>
      </c>
      <c r="G99" s="68"/>
      <c r="H99" s="167" t="s">
        <v>293</v>
      </c>
      <c r="I99" s="173">
        <v>20414.77563211487</v>
      </c>
      <c r="J99" s="168">
        <f>IFERROR(MIN('MP Calculations'!$E$30/I99,1),"-")</f>
        <v>0.40513348981719682</v>
      </c>
      <c r="K99" s="12"/>
      <c r="L99" s="159">
        <v>1.846773</v>
      </c>
      <c r="M99" s="159" t="s">
        <v>294</v>
      </c>
      <c r="N99" s="159">
        <v>589</v>
      </c>
      <c r="O99" s="185">
        <f t="shared" si="5"/>
        <v>1087.7492970000001</v>
      </c>
      <c r="P99" s="215">
        <f t="shared" si="6"/>
        <v>440.6836687398125</v>
      </c>
      <c r="Q99" s="215" cm="1">
        <f t="array" ref="Q99">IF(P99="-",0,P99/(1+'General inputs'!$H$32)^IFERROR(INDEX('MP Calculations'!$C$40:$C$130,MATCH(F99,'MP Calculations'!$D$40:$D$130,0),0),-1))</f>
        <v>886.90719621484402</v>
      </c>
    </row>
    <row r="100" spans="3:17">
      <c r="C100" s="159"/>
      <c r="D100" s="165" t="s">
        <v>291</v>
      </c>
      <c r="E100" s="161">
        <v>38537</v>
      </c>
      <c r="F100" s="172" t="str">
        <f t="shared" si="4"/>
        <v>2005-06</v>
      </c>
      <c r="G100" s="68"/>
      <c r="H100" s="167" t="s">
        <v>293</v>
      </c>
      <c r="I100" s="173">
        <v>20414.77563211487</v>
      </c>
      <c r="J100" s="168">
        <f>IFERROR(MIN('MP Calculations'!$E$30/I100,1),"-")</f>
        <v>0.40513348981719682</v>
      </c>
      <c r="K100" s="12"/>
      <c r="L100" s="159">
        <v>24.123642</v>
      </c>
      <c r="M100" s="159" t="s">
        <v>294</v>
      </c>
      <c r="N100" s="159">
        <v>589</v>
      </c>
      <c r="O100" s="185">
        <f t="shared" si="5"/>
        <v>14208.825138</v>
      </c>
      <c r="P100" s="215">
        <f t="shared" si="6"/>
        <v>5756.4709143602531</v>
      </c>
      <c r="Q100" s="215" cm="1">
        <f t="array" ref="Q100">IF(P100="-",0,P100/(1+'General inputs'!$H$32)^IFERROR(INDEX('MP Calculations'!$C$40:$C$130,MATCH(F100,'MP Calculations'!$D$40:$D$130,0),0),-1))</f>
        <v>11585.306742469515</v>
      </c>
    </row>
    <row r="101" spans="3:17">
      <c r="C101" s="159"/>
      <c r="D101" s="165" t="s">
        <v>291</v>
      </c>
      <c r="E101" s="161">
        <v>38537</v>
      </c>
      <c r="F101" s="172" t="str">
        <f t="shared" si="4"/>
        <v>2005-06</v>
      </c>
      <c r="G101" s="68"/>
      <c r="H101" s="167" t="s">
        <v>293</v>
      </c>
      <c r="I101" s="173">
        <v>20414.77563211487</v>
      </c>
      <c r="J101" s="168">
        <f>IFERROR(MIN('MP Calculations'!$E$30/I101,1),"-")</f>
        <v>0.40513348981719682</v>
      </c>
      <c r="K101" s="12"/>
      <c r="L101" s="159">
        <v>164.17632699999999</v>
      </c>
      <c r="M101" s="159" t="s">
        <v>294</v>
      </c>
      <c r="N101" s="159">
        <v>589</v>
      </c>
      <c r="O101" s="185">
        <f t="shared" si="5"/>
        <v>96699.856602999993</v>
      </c>
      <c r="P101" s="215">
        <f t="shared" si="6"/>
        <v>39176.350370395892</v>
      </c>
      <c r="Q101" s="215" cm="1">
        <f t="array" ref="Q101">IF(P101="-",0,P101/(1+'General inputs'!$H$32)^IFERROR(INDEX('MP Calculations'!$C$40:$C$130,MATCH(F101,'MP Calculations'!$D$40:$D$130,0),0),-1))</f>
        <v>78845.188804699545</v>
      </c>
    </row>
    <row r="102" spans="3:17">
      <c r="C102" s="159"/>
      <c r="D102" s="165" t="s">
        <v>291</v>
      </c>
      <c r="E102" s="161">
        <v>38537</v>
      </c>
      <c r="F102" s="172" t="str">
        <f t="shared" si="4"/>
        <v>2005-06</v>
      </c>
      <c r="G102" s="68"/>
      <c r="H102" s="167" t="s">
        <v>293</v>
      </c>
      <c r="I102" s="173">
        <v>20414.77563211487</v>
      </c>
      <c r="J102" s="168">
        <f>IFERROR(MIN('MP Calculations'!$E$30/I102,1),"-")</f>
        <v>0.40513348981719682</v>
      </c>
      <c r="K102" s="12"/>
      <c r="L102" s="159">
        <v>8.0182710000000004</v>
      </c>
      <c r="M102" s="159" t="s">
        <v>294</v>
      </c>
      <c r="N102" s="159">
        <v>589</v>
      </c>
      <c r="O102" s="185">
        <f t="shared" si="5"/>
        <v>4722.7616189999999</v>
      </c>
      <c r="P102" s="215">
        <f t="shared" si="6"/>
        <v>1913.3488962801844</v>
      </c>
      <c r="Q102" s="215" cm="1">
        <f t="array" ref="Q102">IF(P102="-",0,P102/(1+'General inputs'!$H$32)^IFERROR(INDEX('MP Calculations'!$C$40:$C$130,MATCH(F102,'MP Calculations'!$D$40:$D$130,0),0),-1))</f>
        <v>3850.7506071947082</v>
      </c>
    </row>
    <row r="103" spans="3:17">
      <c r="C103" s="159"/>
      <c r="D103" s="165" t="s">
        <v>291</v>
      </c>
      <c r="E103" s="161">
        <v>38537</v>
      </c>
      <c r="F103" s="172" t="str">
        <f t="shared" si="4"/>
        <v>2005-06</v>
      </c>
      <c r="G103" s="68"/>
      <c r="H103" s="167" t="s">
        <v>293</v>
      </c>
      <c r="I103" s="173">
        <v>20414.77563211487</v>
      </c>
      <c r="J103" s="168">
        <f>IFERROR(MIN('MP Calculations'!$E$30/I103,1),"-")</f>
        <v>0.40513348981719682</v>
      </c>
      <c r="K103" s="12"/>
      <c r="L103" s="159">
        <v>16.299755999999999</v>
      </c>
      <c r="M103" s="159" t="s">
        <v>294</v>
      </c>
      <c r="N103" s="159">
        <v>589</v>
      </c>
      <c r="O103" s="185">
        <f t="shared" si="5"/>
        <v>9600.5562839999984</v>
      </c>
      <c r="P103" s="215">
        <f t="shared" si="6"/>
        <v>3889.5068715233383</v>
      </c>
      <c r="Q103" s="215" cm="1">
        <f t="array" ref="Q103">IF(P103="-",0,P103/(1+'General inputs'!$H$32)^IFERROR(INDEX('MP Calculations'!$C$40:$C$130,MATCH(F103,'MP Calculations'!$D$40:$D$130,0),0),-1))</f>
        <v>7827.9089487154506</v>
      </c>
    </row>
    <row r="104" spans="3:17">
      <c r="C104" s="159"/>
      <c r="D104" s="165" t="s">
        <v>291</v>
      </c>
      <c r="E104" s="161">
        <v>38537</v>
      </c>
      <c r="F104" s="172" t="str">
        <f t="shared" si="4"/>
        <v>2005-06</v>
      </c>
      <c r="G104" s="68"/>
      <c r="H104" s="167" t="s">
        <v>293</v>
      </c>
      <c r="I104" s="173">
        <v>20414.77563211487</v>
      </c>
      <c r="J104" s="168">
        <f>IFERROR(MIN('MP Calculations'!$E$30/I104,1),"-")</f>
        <v>0.40513348981719682</v>
      </c>
      <c r="K104" s="12"/>
      <c r="L104" s="159">
        <v>2.0103149999999999</v>
      </c>
      <c r="M104" s="159" t="s">
        <v>294</v>
      </c>
      <c r="N104" s="159">
        <v>589</v>
      </c>
      <c r="O104" s="185">
        <f t="shared" si="5"/>
        <v>1184.0755349999999</v>
      </c>
      <c r="P104" s="215">
        <f t="shared" si="6"/>
        <v>479.70865370171435</v>
      </c>
      <c r="Q104" s="215" cm="1">
        <f t="array" ref="Q104">IF(P104="-",0,P104/(1+'General inputs'!$H$32)^IFERROR(INDEX('MP Calculations'!$C$40:$C$130,MATCH(F104,'MP Calculations'!$D$40:$D$130,0),0),-1))</f>
        <v>965.44775137964655</v>
      </c>
    </row>
    <row r="105" spans="3:17">
      <c r="C105" s="159"/>
      <c r="D105" s="165" t="s">
        <v>291</v>
      </c>
      <c r="E105" s="161">
        <v>38537</v>
      </c>
      <c r="F105" s="172" t="str">
        <f t="shared" si="4"/>
        <v>2005-06</v>
      </c>
      <c r="G105" s="68"/>
      <c r="H105" s="167" t="s">
        <v>293</v>
      </c>
      <c r="I105" s="173">
        <v>20414.77563211487</v>
      </c>
      <c r="J105" s="168">
        <f>IFERROR(MIN('MP Calculations'!$E$30/I105,1),"-")</f>
        <v>0.40513348981719682</v>
      </c>
      <c r="K105" s="12"/>
      <c r="L105" s="159">
        <v>1.7412829999999999</v>
      </c>
      <c r="M105" s="159" t="s">
        <v>294</v>
      </c>
      <c r="N105" s="159">
        <v>589</v>
      </c>
      <c r="O105" s="185">
        <f t="shared" si="5"/>
        <v>1025.615687</v>
      </c>
      <c r="P105" s="215">
        <f t="shared" si="6"/>
        <v>415.51126248557182</v>
      </c>
      <c r="Q105" s="215" cm="1">
        <f t="array" ref="Q105">IF(P105="-",0,P105/(1+'General inputs'!$H$32)^IFERROR(INDEX('MP Calculations'!$C$40:$C$130,MATCH(F105,'MP Calculations'!$D$40:$D$130,0),0),-1))</f>
        <v>836.24593999726665</v>
      </c>
    </row>
    <row r="106" spans="3:17">
      <c r="C106" s="159"/>
      <c r="D106" s="165" t="s">
        <v>291</v>
      </c>
      <c r="E106" s="161">
        <v>38537</v>
      </c>
      <c r="F106" s="172" t="str">
        <f t="shared" si="4"/>
        <v>2005-06</v>
      </c>
      <c r="G106" s="68"/>
      <c r="H106" s="167" t="s">
        <v>293</v>
      </c>
      <c r="I106" s="173">
        <v>20414.77563211487</v>
      </c>
      <c r="J106" s="168">
        <f>IFERROR(MIN('MP Calculations'!$E$30/I106,1),"-")</f>
        <v>0.40513348981719682</v>
      </c>
      <c r="K106" s="12"/>
      <c r="L106" s="159">
        <v>0.30010700000000001</v>
      </c>
      <c r="M106" s="159" t="s">
        <v>294</v>
      </c>
      <c r="N106" s="159">
        <v>589</v>
      </c>
      <c r="O106" s="185">
        <f t="shared" si="5"/>
        <v>176.763023</v>
      </c>
      <c r="P106" s="215">
        <f t="shared" si="6"/>
        <v>71.612620378627426</v>
      </c>
      <c r="Q106" s="215" cm="1">
        <f t="array" ref="Q106">IF(P106="-",0,P106/(1+'General inputs'!$H$32)^IFERROR(INDEX('MP Calculations'!$C$40:$C$130,MATCH(F106,'MP Calculations'!$D$40:$D$130,0),0),-1))</f>
        <v>144.12548696263602</v>
      </c>
    </row>
    <row r="107" spans="3:17">
      <c r="C107" s="159"/>
      <c r="D107" s="165" t="s">
        <v>291</v>
      </c>
      <c r="E107" s="161">
        <v>38537</v>
      </c>
      <c r="F107" s="172" t="str">
        <f t="shared" si="4"/>
        <v>2005-06</v>
      </c>
      <c r="G107" s="68"/>
      <c r="H107" s="167" t="s">
        <v>293</v>
      </c>
      <c r="I107" s="173">
        <v>20414.77563211487</v>
      </c>
      <c r="J107" s="168">
        <f>IFERROR(MIN('MP Calculations'!$E$30/I107,1),"-")</f>
        <v>0.40513348981719682</v>
      </c>
      <c r="K107" s="12"/>
      <c r="L107" s="159">
        <v>190.168768</v>
      </c>
      <c r="M107" s="159" t="s">
        <v>294</v>
      </c>
      <c r="N107" s="159">
        <v>589</v>
      </c>
      <c r="O107" s="185">
        <f t="shared" si="5"/>
        <v>112009.404352</v>
      </c>
      <c r="P107" s="215">
        <f t="shared" si="6"/>
        <v>45378.760877471272</v>
      </c>
      <c r="Q107" s="215" cm="1">
        <f t="array" ref="Q107">IF(P107="-",0,P107/(1+'General inputs'!$H$32)^IFERROR(INDEX('MP Calculations'!$C$40:$C$130,MATCH(F107,'MP Calculations'!$D$40:$D$130,0),0),-1))</f>
        <v>91327.980663845068</v>
      </c>
    </row>
    <row r="108" spans="3:17">
      <c r="C108" s="159"/>
      <c r="D108" s="165" t="s">
        <v>291</v>
      </c>
      <c r="E108" s="161">
        <v>38537</v>
      </c>
      <c r="F108" s="172" t="str">
        <f t="shared" si="4"/>
        <v>2005-06</v>
      </c>
      <c r="G108" s="68"/>
      <c r="H108" s="167" t="s">
        <v>293</v>
      </c>
      <c r="I108" s="173">
        <v>20414.77563211487</v>
      </c>
      <c r="J108" s="168">
        <f>IFERROR(MIN('MP Calculations'!$E$30/I108,1),"-")</f>
        <v>0.40513348981719682</v>
      </c>
      <c r="K108" s="12"/>
      <c r="L108" s="159">
        <v>332.27799900000002</v>
      </c>
      <c r="M108" s="159" t="s">
        <v>294</v>
      </c>
      <c r="N108" s="159">
        <v>589</v>
      </c>
      <c r="O108" s="185">
        <f t="shared" si="5"/>
        <v>195711.74141100002</v>
      </c>
      <c r="P108" s="215">
        <f t="shared" si="6"/>
        <v>79289.38079603923</v>
      </c>
      <c r="Q108" s="215" cm="1">
        <f t="array" ref="Q108">IF(P108="-",0,P108/(1+'General inputs'!$H$32)^IFERROR(INDEX('MP Calculations'!$C$40:$C$130,MATCH(F108,'MP Calculations'!$D$40:$D$130,0),0),-1))</f>
        <v>159575.51277659397</v>
      </c>
    </row>
    <row r="109" spans="3:17">
      <c r="C109" s="159"/>
      <c r="D109" s="165" t="s">
        <v>291</v>
      </c>
      <c r="E109" s="161">
        <v>38537</v>
      </c>
      <c r="F109" s="172" t="str">
        <f t="shared" si="4"/>
        <v>2005-06</v>
      </c>
      <c r="G109" s="68"/>
      <c r="H109" s="167" t="s">
        <v>293</v>
      </c>
      <c r="I109" s="173">
        <v>20414.77563211487</v>
      </c>
      <c r="J109" s="168">
        <f>IFERROR(MIN('MP Calculations'!$E$30/I109,1),"-")</f>
        <v>0.40513348981719682</v>
      </c>
      <c r="K109" s="12"/>
      <c r="L109" s="159">
        <v>64.515229000000005</v>
      </c>
      <c r="M109" s="159" t="s">
        <v>294</v>
      </c>
      <c r="N109" s="159">
        <v>589</v>
      </c>
      <c r="O109" s="185">
        <f t="shared" si="5"/>
        <v>37999.469881000005</v>
      </c>
      <c r="P109" s="215">
        <f t="shared" si="6"/>
        <v>15394.857844092992</v>
      </c>
      <c r="Q109" s="215" cm="1">
        <f t="array" ref="Q109">IF(P109="-",0,P109/(1+'General inputs'!$H$32)^IFERROR(INDEX('MP Calculations'!$C$40:$C$130,MATCH(F109,'MP Calculations'!$D$40:$D$130,0),0),-1))</f>
        <v>30983.245296280918</v>
      </c>
    </row>
    <row r="110" spans="3:17">
      <c r="C110" s="159"/>
      <c r="D110" s="165" t="s">
        <v>291</v>
      </c>
      <c r="E110" s="161">
        <v>38537</v>
      </c>
      <c r="F110" s="172" t="str">
        <f t="shared" si="4"/>
        <v>2005-06</v>
      </c>
      <c r="G110" s="68"/>
      <c r="H110" s="167" t="s">
        <v>293</v>
      </c>
      <c r="I110" s="173">
        <v>20414.77563211487</v>
      </c>
      <c r="J110" s="168">
        <f>IFERROR(MIN('MP Calculations'!$E$30/I110,1),"-")</f>
        <v>0.40513348981719682</v>
      </c>
      <c r="K110" s="12"/>
      <c r="L110" s="159">
        <v>1.5767850000000001</v>
      </c>
      <c r="M110" s="159" t="s">
        <v>294</v>
      </c>
      <c r="N110" s="159">
        <v>589</v>
      </c>
      <c r="O110" s="185">
        <f t="shared" si="5"/>
        <v>928.7263650000001</v>
      </c>
      <c r="P110" s="215">
        <f t="shared" si="6"/>
        <v>376.25815333768975</v>
      </c>
      <c r="Q110" s="215" cm="1">
        <f t="array" ref="Q110">IF(P110="-",0,P110/(1+'General inputs'!$H$32)^IFERROR(INDEX('MP Calculations'!$C$40:$C$130,MATCH(F110,'MP Calculations'!$D$40:$D$130,0),0),-1))</f>
        <v>757.2462686987642</v>
      </c>
    </row>
    <row r="111" spans="3:17">
      <c r="C111" s="159"/>
      <c r="D111" s="165" t="s">
        <v>291</v>
      </c>
      <c r="E111" s="161">
        <v>38537</v>
      </c>
      <c r="F111" s="172" t="str">
        <f t="shared" si="4"/>
        <v>2005-06</v>
      </c>
      <c r="G111" s="68"/>
      <c r="H111" s="167" t="s">
        <v>293</v>
      </c>
      <c r="I111" s="173">
        <v>20414.77563211487</v>
      </c>
      <c r="J111" s="168">
        <f>IFERROR(MIN('MP Calculations'!$E$30/I111,1),"-")</f>
        <v>0.40513348981719682</v>
      </c>
      <c r="K111" s="12"/>
      <c r="L111" s="159">
        <v>0.62606499999999998</v>
      </c>
      <c r="M111" s="159" t="s">
        <v>294</v>
      </c>
      <c r="N111" s="159">
        <v>589</v>
      </c>
      <c r="O111" s="185">
        <f t="shared" si="5"/>
        <v>368.75228499999997</v>
      </c>
      <c r="P111" s="215">
        <f t="shared" si="6"/>
        <v>149.39390010011556</v>
      </c>
      <c r="Q111" s="215" cm="1">
        <f t="array" ref="Q111">IF(P111="-",0,P111/(1+'General inputs'!$H$32)^IFERROR(INDEX('MP Calculations'!$C$40:$C$130,MATCH(F111,'MP Calculations'!$D$40:$D$130,0),0),-1))</f>
        <v>300.66583916823902</v>
      </c>
    </row>
    <row r="112" spans="3:17">
      <c r="C112" s="159"/>
      <c r="D112" s="165" t="s">
        <v>291</v>
      </c>
      <c r="E112" s="161">
        <v>38537</v>
      </c>
      <c r="F112" s="172" t="str">
        <f t="shared" si="4"/>
        <v>2005-06</v>
      </c>
      <c r="G112" s="68"/>
      <c r="H112" s="167" t="s">
        <v>293</v>
      </c>
      <c r="I112" s="173">
        <v>20414.77563211487</v>
      </c>
      <c r="J112" s="168">
        <f>IFERROR(MIN('MP Calculations'!$E$30/I112,1),"-")</f>
        <v>0.40513348981719682</v>
      </c>
      <c r="K112" s="12"/>
      <c r="L112" s="159">
        <v>34.253352</v>
      </c>
      <c r="M112" s="159" t="s">
        <v>294</v>
      </c>
      <c r="N112" s="159">
        <v>589</v>
      </c>
      <c r="O112" s="185">
        <f t="shared" si="5"/>
        <v>20175.224328</v>
      </c>
      <c r="P112" s="215">
        <f t="shared" si="6"/>
        <v>8173.65903984745</v>
      </c>
      <c r="Q112" s="215" cm="1">
        <f t="array" ref="Q112">IF(P112="-",0,P112/(1+'General inputs'!$H$32)^IFERROR(INDEX('MP Calculations'!$C$40:$C$130,MATCH(F112,'MP Calculations'!$D$40:$D$130,0),0),-1))</f>
        <v>16450.069598851685</v>
      </c>
    </row>
    <row r="113" spans="3:17">
      <c r="C113" s="159"/>
      <c r="D113" s="165" t="s">
        <v>291</v>
      </c>
      <c r="E113" s="161">
        <v>38537</v>
      </c>
      <c r="F113" s="172" t="str">
        <f t="shared" si="4"/>
        <v>2005-06</v>
      </c>
      <c r="G113" s="68"/>
      <c r="H113" s="167" t="s">
        <v>293</v>
      </c>
      <c r="I113" s="173">
        <v>20414.77563211487</v>
      </c>
      <c r="J113" s="168">
        <f>IFERROR(MIN('MP Calculations'!$E$30/I113,1),"-")</f>
        <v>0.40513348981719682</v>
      </c>
      <c r="K113" s="12"/>
      <c r="L113" s="159">
        <v>2.6356830000000002</v>
      </c>
      <c r="M113" s="159" t="s">
        <v>294</v>
      </c>
      <c r="N113" s="159">
        <v>589</v>
      </c>
      <c r="O113" s="185">
        <f t="shared" si="5"/>
        <v>1552.4172870000002</v>
      </c>
      <c r="P113" s="215">
        <f t="shared" si="6"/>
        <v>628.93623313485489</v>
      </c>
      <c r="Q113" s="215" cm="1">
        <f t="array" ref="Q113">IF(P113="-",0,P113/(1+'General inputs'!$H$32)^IFERROR(INDEX('MP Calculations'!$C$40:$C$130,MATCH(F113,'MP Calculations'!$D$40:$D$130,0),0),-1))</f>
        <v>1265.7788583876463</v>
      </c>
    </row>
    <row r="114" spans="3:17">
      <c r="C114" s="159"/>
      <c r="D114" s="165" t="s">
        <v>291</v>
      </c>
      <c r="E114" s="161">
        <v>38537</v>
      </c>
      <c r="F114" s="172" t="str">
        <f t="shared" si="4"/>
        <v>2005-06</v>
      </c>
      <c r="G114" s="68"/>
      <c r="H114" s="167" t="s">
        <v>293</v>
      </c>
      <c r="I114" s="173">
        <v>20414.77563211487</v>
      </c>
      <c r="J114" s="168">
        <f>IFERROR(MIN('MP Calculations'!$E$30/I114,1),"-")</f>
        <v>0.40513348981719682</v>
      </c>
      <c r="K114" s="12"/>
      <c r="L114" s="159">
        <v>1.1989320000000001</v>
      </c>
      <c r="M114" s="159" t="s">
        <v>294</v>
      </c>
      <c r="N114" s="159">
        <v>589</v>
      </c>
      <c r="O114" s="185">
        <f t="shared" si="5"/>
        <v>706.17094800000007</v>
      </c>
      <c r="P114" s="215">
        <f t="shared" si="6"/>
        <v>286.09350057075824</v>
      </c>
      <c r="Q114" s="215" cm="1">
        <f t="array" ref="Q114">IF(P114="-",0,P114/(1+'General inputs'!$H$32)^IFERROR(INDEX('MP Calculations'!$C$40:$C$130,MATCH(F114,'MP Calculations'!$D$40:$D$130,0),0),-1))</f>
        <v>575.78349833588391</v>
      </c>
    </row>
    <row r="115" spans="3:17">
      <c r="C115" s="159"/>
      <c r="D115" s="165" t="s">
        <v>291</v>
      </c>
      <c r="E115" s="161">
        <v>38537</v>
      </c>
      <c r="F115" s="172" t="str">
        <f t="shared" si="4"/>
        <v>2005-06</v>
      </c>
      <c r="G115" s="68"/>
      <c r="H115" s="167" t="s">
        <v>293</v>
      </c>
      <c r="I115" s="173">
        <v>20414.77563211487</v>
      </c>
      <c r="J115" s="168">
        <f>IFERROR(MIN('MP Calculations'!$E$30/I115,1),"-")</f>
        <v>0.40513348981719682</v>
      </c>
      <c r="K115" s="12"/>
      <c r="L115" s="159">
        <v>400.61271499999998</v>
      </c>
      <c r="M115" s="159" t="s">
        <v>294</v>
      </c>
      <c r="N115" s="159">
        <v>589</v>
      </c>
      <c r="O115" s="185">
        <f t="shared" si="5"/>
        <v>235960.88913499998</v>
      </c>
      <c r="P115" s="215">
        <f t="shared" si="6"/>
        <v>95595.658475631222</v>
      </c>
      <c r="Q115" s="215" cm="1">
        <f t="array" ref="Q115">IF(P115="-",0,P115/(1+'General inputs'!$H$32)^IFERROR(INDEX('MP Calculations'!$C$40:$C$130,MATCH(F115,'MP Calculations'!$D$40:$D$130,0),0),-1))</f>
        <v>192393.05525295547</v>
      </c>
    </row>
    <row r="116" spans="3:17">
      <c r="C116" s="159"/>
      <c r="D116" s="165" t="s">
        <v>291</v>
      </c>
      <c r="E116" s="161">
        <v>38537</v>
      </c>
      <c r="F116" s="172" t="str">
        <f t="shared" si="4"/>
        <v>2005-06</v>
      </c>
      <c r="G116" s="68"/>
      <c r="H116" s="167" t="s">
        <v>293</v>
      </c>
      <c r="I116" s="173">
        <v>20414.77563211487</v>
      </c>
      <c r="J116" s="168">
        <f>IFERROR(MIN('MP Calculations'!$E$30/I116,1),"-")</f>
        <v>0.40513348981719682</v>
      </c>
      <c r="K116" s="12"/>
      <c r="L116" s="159">
        <v>6.9988520000000003</v>
      </c>
      <c r="M116" s="159" t="s">
        <v>294</v>
      </c>
      <c r="N116" s="159">
        <v>589</v>
      </c>
      <c r="O116" s="185">
        <f t="shared" si="5"/>
        <v>4122.3238280000005</v>
      </c>
      <c r="P116" s="215">
        <f t="shared" si="6"/>
        <v>1670.091438594226</v>
      </c>
      <c r="Q116" s="215" cm="1">
        <f t="array" ref="Q116">IF(P116="-",0,P116/(1+'General inputs'!$H$32)^IFERROR(INDEX('MP Calculations'!$C$40:$C$130,MATCH(F116,'MP Calculations'!$D$40:$D$130,0),0),-1))</f>
        <v>3361.1776888890267</v>
      </c>
    </row>
    <row r="117" spans="3:17">
      <c r="C117" s="159"/>
      <c r="D117" s="165" t="s">
        <v>291</v>
      </c>
      <c r="E117" s="161">
        <v>38537</v>
      </c>
      <c r="F117" s="172" t="str">
        <f t="shared" si="4"/>
        <v>2005-06</v>
      </c>
      <c r="G117" s="68"/>
      <c r="H117" s="167" t="s">
        <v>293</v>
      </c>
      <c r="I117" s="173">
        <v>20414.77563211487</v>
      </c>
      <c r="J117" s="168">
        <f>IFERROR(MIN('MP Calculations'!$E$30/I117,1),"-")</f>
        <v>0.40513348981719682</v>
      </c>
      <c r="K117" s="12"/>
      <c r="L117" s="159">
        <v>21.080898000000001</v>
      </c>
      <c r="M117" s="159" t="s">
        <v>294</v>
      </c>
      <c r="N117" s="159">
        <v>589</v>
      </c>
      <c r="O117" s="185">
        <f t="shared" si="5"/>
        <v>12416.648922</v>
      </c>
      <c r="P117" s="215">
        <f t="shared" si="6"/>
        <v>5030.4003096047954</v>
      </c>
      <c r="Q117" s="215" cm="1">
        <f t="array" ref="Q117">IF(P117="-",0,P117/(1+'General inputs'!$H$32)^IFERROR(INDEX('MP Calculations'!$C$40:$C$130,MATCH(F117,'MP Calculations'!$D$40:$D$130,0),0),-1))</f>
        <v>10124.038059291053</v>
      </c>
    </row>
    <row r="118" spans="3:17">
      <c r="C118" s="159"/>
      <c r="D118" s="165" t="s">
        <v>281</v>
      </c>
      <c r="E118" s="161">
        <v>38537</v>
      </c>
      <c r="F118" s="172" t="str">
        <f t="shared" si="4"/>
        <v>2005-06</v>
      </c>
      <c r="G118" s="68"/>
      <c r="H118" s="167" t="s">
        <v>293</v>
      </c>
      <c r="I118" s="173">
        <v>20414.77563211487</v>
      </c>
      <c r="J118" s="168">
        <f>IFERROR(MIN('MP Calculations'!$E$30/I118,1),"-")</f>
        <v>0.40513348981719682</v>
      </c>
      <c r="K118" s="12"/>
      <c r="L118" s="159">
        <v>2.4907159999999999</v>
      </c>
      <c r="M118" s="159" t="s">
        <v>294</v>
      </c>
      <c r="N118" s="159">
        <v>350</v>
      </c>
      <c r="O118" s="185">
        <f t="shared" si="5"/>
        <v>871.75059999999996</v>
      </c>
      <c r="P118" s="215">
        <f t="shared" si="6"/>
        <v>353.17536282823522</v>
      </c>
      <c r="Q118" s="215" cm="1">
        <f t="array" ref="Q118">IF(P118="-",0,P118/(1+'General inputs'!$H$32)^IFERROR(INDEX('MP Calculations'!$C$40:$C$130,MATCH(F118,'MP Calculations'!$D$40:$D$130,0),0),-1))</f>
        <v>710.79051264568</v>
      </c>
    </row>
    <row r="119" spans="3:17">
      <c r="C119" s="159"/>
      <c r="D119" s="165" t="s">
        <v>291</v>
      </c>
      <c r="E119" s="161">
        <v>38537</v>
      </c>
      <c r="F119" s="172" t="str">
        <f t="shared" si="4"/>
        <v>2005-06</v>
      </c>
      <c r="G119" s="68"/>
      <c r="H119" s="167" t="s">
        <v>293</v>
      </c>
      <c r="I119" s="173">
        <v>20414.77563211487</v>
      </c>
      <c r="J119" s="168">
        <f>IFERROR(MIN('MP Calculations'!$E$30/I119,1),"-")</f>
        <v>0.40513348981719682</v>
      </c>
      <c r="K119" s="12"/>
      <c r="L119" s="159">
        <v>2.0590039999999998</v>
      </c>
      <c r="M119" s="159" t="s">
        <v>294</v>
      </c>
      <c r="N119" s="159">
        <v>589</v>
      </c>
      <c r="O119" s="185">
        <f t="shared" si="5"/>
        <v>1212.7533559999999</v>
      </c>
      <c r="P119" s="215">
        <f t="shared" si="6"/>
        <v>491.32699940379723</v>
      </c>
      <c r="Q119" s="215" cm="1">
        <f t="array" ref="Q119">IF(P119="-",0,P119/(1+'General inputs'!$H$32)^IFERROR(INDEX('MP Calculations'!$C$40:$C$130,MATCH(F119,'MP Calculations'!$D$40:$D$130,0),0),-1))</f>
        <v>988.83049764922305</v>
      </c>
    </row>
    <row r="120" spans="3:17">
      <c r="C120" s="159"/>
      <c r="D120" s="165" t="s">
        <v>291</v>
      </c>
      <c r="E120" s="161">
        <v>38537</v>
      </c>
      <c r="F120" s="172" t="str">
        <f t="shared" si="4"/>
        <v>2005-06</v>
      </c>
      <c r="G120" s="68"/>
      <c r="H120" s="167" t="s">
        <v>293</v>
      </c>
      <c r="I120" s="173">
        <v>20414.77563211487</v>
      </c>
      <c r="J120" s="168">
        <f>IFERROR(MIN('MP Calculations'!$E$30/I120,1),"-")</f>
        <v>0.40513348981719682</v>
      </c>
      <c r="K120" s="12"/>
      <c r="L120" s="159">
        <v>234.67233200000001</v>
      </c>
      <c r="M120" s="159" t="s">
        <v>294</v>
      </c>
      <c r="N120" s="159">
        <v>589</v>
      </c>
      <c r="O120" s="185">
        <f t="shared" si="5"/>
        <v>138222.00354800001</v>
      </c>
      <c r="P120" s="215">
        <f t="shared" si="6"/>
        <v>55998.362666926201</v>
      </c>
      <c r="Q120" s="215" cm="1">
        <f t="array" ref="Q120">IF(P120="-",0,P120/(1+'General inputs'!$H$32)^IFERROR(INDEX('MP Calculations'!$C$40:$C$130,MATCH(F120,'MP Calculations'!$D$40:$D$130,0),0),-1))</f>
        <v>112700.68384328719</v>
      </c>
    </row>
    <row r="121" spans="3:17">
      <c r="C121" s="159"/>
      <c r="D121" s="165" t="s">
        <v>291</v>
      </c>
      <c r="E121" s="161">
        <v>38537</v>
      </c>
      <c r="F121" s="172" t="str">
        <f t="shared" si="4"/>
        <v>2005-06</v>
      </c>
      <c r="G121" s="68"/>
      <c r="H121" s="167" t="s">
        <v>293</v>
      </c>
      <c r="I121" s="173">
        <v>20414.77563211487</v>
      </c>
      <c r="J121" s="168">
        <f>IFERROR(MIN('MP Calculations'!$E$30/I121,1),"-")</f>
        <v>0.40513348981719682</v>
      </c>
      <c r="K121" s="12"/>
      <c r="L121" s="159">
        <v>1.821671</v>
      </c>
      <c r="M121" s="159" t="s">
        <v>294</v>
      </c>
      <c r="N121" s="159">
        <v>589</v>
      </c>
      <c r="O121" s="185">
        <f t="shared" si="5"/>
        <v>1072.964219</v>
      </c>
      <c r="P121" s="215">
        <f t="shared" si="6"/>
        <v>434.69373849245301</v>
      </c>
      <c r="Q121" s="215" cm="1">
        <f t="array" ref="Q121">IF(P121="-",0,P121/(1+'General inputs'!$H$32)^IFERROR(INDEX('MP Calculations'!$C$40:$C$130,MATCH(F121,'MP Calculations'!$D$40:$D$130,0),0),-1))</f>
        <v>874.85203597620875</v>
      </c>
    </row>
    <row r="122" spans="3:17">
      <c r="C122" s="159"/>
      <c r="D122" s="165" t="s">
        <v>291</v>
      </c>
      <c r="E122" s="161">
        <v>38537</v>
      </c>
      <c r="F122" s="172" t="str">
        <f t="shared" si="4"/>
        <v>2005-06</v>
      </c>
      <c r="G122" s="68"/>
      <c r="H122" s="167" t="s">
        <v>293</v>
      </c>
      <c r="I122" s="173">
        <v>20414.77563211487</v>
      </c>
      <c r="J122" s="168">
        <f>IFERROR(MIN('MP Calculations'!$E$30/I122,1),"-")</f>
        <v>0.40513348981719682</v>
      </c>
      <c r="K122" s="12"/>
      <c r="L122" s="159">
        <v>1.991771</v>
      </c>
      <c r="M122" s="159" t="s">
        <v>294</v>
      </c>
      <c r="N122" s="159">
        <v>589</v>
      </c>
      <c r="O122" s="185">
        <f t="shared" si="5"/>
        <v>1173.1531190000001</v>
      </c>
      <c r="P122" s="215">
        <f t="shared" si="6"/>
        <v>475.28361719039924</v>
      </c>
      <c r="Q122" s="215" cm="1">
        <f t="array" ref="Q122">IF(P122="-",0,P122/(1+'General inputs'!$H$32)^IFERROR(INDEX('MP Calculations'!$C$40:$C$130,MATCH(F122,'MP Calculations'!$D$40:$D$130,0),0),-1))</f>
        <v>956.54205097867271</v>
      </c>
    </row>
    <row r="123" spans="3:17">
      <c r="C123" s="159"/>
      <c r="D123" s="165" t="s">
        <v>282</v>
      </c>
      <c r="E123" s="161">
        <v>38537</v>
      </c>
      <c r="F123" s="172" t="str">
        <f t="shared" si="4"/>
        <v>2005-06</v>
      </c>
      <c r="G123" s="68"/>
      <c r="H123" s="167" t="s">
        <v>293</v>
      </c>
      <c r="I123" s="173">
        <v>20414.77563211487</v>
      </c>
      <c r="J123" s="168">
        <f>IFERROR(MIN('MP Calculations'!$E$30/I123,1),"-")</f>
        <v>0.40513348981719682</v>
      </c>
      <c r="K123" s="12"/>
      <c r="L123" s="159">
        <v>509.547864</v>
      </c>
      <c r="M123" s="159" t="s">
        <v>294</v>
      </c>
      <c r="N123" s="159">
        <v>511</v>
      </c>
      <c r="O123" s="185">
        <f t="shared" si="5"/>
        <v>260378.95850400001</v>
      </c>
      <c r="P123" s="215">
        <f t="shared" si="6"/>
        <v>105488.2361336926</v>
      </c>
      <c r="Q123" s="215" cm="1">
        <f t="array" ref="Q123">IF(P123="-",0,P123/(1+'General inputs'!$H$32)^IFERROR(INDEX('MP Calculations'!$C$40:$C$130,MATCH(F123,'MP Calculations'!$D$40:$D$130,0),0),-1))</f>
        <v>212302.57070910692</v>
      </c>
    </row>
    <row r="124" spans="3:17">
      <c r="C124" s="159"/>
      <c r="D124" s="165" t="s">
        <v>291</v>
      </c>
      <c r="E124" s="161">
        <v>38537</v>
      </c>
      <c r="F124" s="172" t="str">
        <f t="shared" si="4"/>
        <v>2005-06</v>
      </c>
      <c r="G124" s="68"/>
      <c r="H124" s="167" t="s">
        <v>293</v>
      </c>
      <c r="I124" s="173">
        <v>20414.77563211487</v>
      </c>
      <c r="J124" s="168">
        <f>IFERROR(MIN('MP Calculations'!$E$30/I124,1),"-")</f>
        <v>0.40513348981719682</v>
      </c>
      <c r="K124" s="12"/>
      <c r="L124" s="159">
        <v>100.256548</v>
      </c>
      <c r="M124" s="159" t="s">
        <v>294</v>
      </c>
      <c r="N124" s="159">
        <v>589</v>
      </c>
      <c r="O124" s="185">
        <f t="shared" si="5"/>
        <v>59051.106771999999</v>
      </c>
      <c r="P124" s="215">
        <f t="shared" si="6"/>
        <v>23923.580964108263</v>
      </c>
      <c r="Q124" s="215" cm="1">
        <f t="array" ref="Q124">IF(P124="-",0,P124/(1+'General inputs'!$H$32)^IFERROR(INDEX('MP Calculations'!$C$40:$C$130,MATCH(F124,'MP Calculations'!$D$40:$D$130,0),0),-1))</f>
        <v>48147.906585627432</v>
      </c>
    </row>
    <row r="125" spans="3:17">
      <c r="C125" s="159"/>
      <c r="D125" s="165" t="s">
        <v>291</v>
      </c>
      <c r="E125" s="161">
        <v>38537</v>
      </c>
      <c r="F125" s="172" t="str">
        <f t="shared" si="4"/>
        <v>2005-06</v>
      </c>
      <c r="G125" s="68"/>
      <c r="H125" s="167" t="s">
        <v>293</v>
      </c>
      <c r="I125" s="173">
        <v>20414.77563211487</v>
      </c>
      <c r="J125" s="168">
        <f>IFERROR(MIN('MP Calculations'!$E$30/I125,1),"-")</f>
        <v>0.40513348981719682</v>
      </c>
      <c r="K125" s="12"/>
      <c r="L125" s="159">
        <v>23.244398</v>
      </c>
      <c r="M125" s="159" t="s">
        <v>294</v>
      </c>
      <c r="N125" s="159">
        <v>589</v>
      </c>
      <c r="O125" s="185">
        <f t="shared" si="5"/>
        <v>13690.950422</v>
      </c>
      <c r="P125" s="215">
        <f t="shared" si="6"/>
        <v>5546.6625233790837</v>
      </c>
      <c r="Q125" s="215" cm="1">
        <f t="array" ref="Q125">IF(P125="-",0,P125/(1+'General inputs'!$H$32)^IFERROR(INDEX('MP Calculations'!$C$40:$C$130,MATCH(F125,'MP Calculations'!$D$40:$D$130,0),0),-1))</f>
        <v>11163.052447638085</v>
      </c>
    </row>
    <row r="126" spans="3:17">
      <c r="C126" s="159"/>
      <c r="D126" s="165" t="s">
        <v>291</v>
      </c>
      <c r="E126" s="161">
        <v>38537</v>
      </c>
      <c r="F126" s="172" t="str">
        <f t="shared" si="4"/>
        <v>2005-06</v>
      </c>
      <c r="G126" s="68"/>
      <c r="H126" s="167" t="s">
        <v>293</v>
      </c>
      <c r="I126" s="173">
        <v>20414.77563211487</v>
      </c>
      <c r="J126" s="168">
        <f>IFERROR(MIN('MP Calculations'!$E$30/I126,1),"-")</f>
        <v>0.40513348981719682</v>
      </c>
      <c r="K126" s="12"/>
      <c r="L126" s="159">
        <v>13.500771</v>
      </c>
      <c r="M126" s="159" t="s">
        <v>294</v>
      </c>
      <c r="N126" s="159">
        <v>589</v>
      </c>
      <c r="O126" s="185">
        <f t="shared" si="5"/>
        <v>7951.954119</v>
      </c>
      <c r="P126" s="215">
        <f t="shared" si="6"/>
        <v>3221.6029230967029</v>
      </c>
      <c r="Q126" s="215" cm="1">
        <f t="array" ref="Q126">IF(P126="-",0,P126/(1+'General inputs'!$H$32)^IFERROR(INDEX('MP Calculations'!$C$40:$C$130,MATCH(F126,'MP Calculations'!$D$40:$D$130,0),0),-1))</f>
        <v>6483.7047944434298</v>
      </c>
    </row>
    <row r="127" spans="3:17">
      <c r="C127" s="159"/>
      <c r="D127" s="165" t="s">
        <v>291</v>
      </c>
      <c r="E127" s="161">
        <v>38537</v>
      </c>
      <c r="F127" s="172" t="str">
        <f t="shared" si="4"/>
        <v>2005-06</v>
      </c>
      <c r="G127" s="68"/>
      <c r="H127" s="167" t="s">
        <v>293</v>
      </c>
      <c r="I127" s="173">
        <v>20414.77563211487</v>
      </c>
      <c r="J127" s="168">
        <f>IFERROR(MIN('MP Calculations'!$E$30/I127,1),"-")</f>
        <v>0.40513348981719682</v>
      </c>
      <c r="K127" s="12"/>
      <c r="L127" s="159">
        <v>0.30012800000000001</v>
      </c>
      <c r="M127" s="159" t="s">
        <v>294</v>
      </c>
      <c r="N127" s="159">
        <v>589</v>
      </c>
      <c r="O127" s="185">
        <f t="shared" si="5"/>
        <v>176.77539200000001</v>
      </c>
      <c r="P127" s="215">
        <f t="shared" si="6"/>
        <v>71.617631474762987</v>
      </c>
      <c r="Q127" s="215" cm="1">
        <f t="array" ref="Q127">IF(P127="-",0,P127/(1+'General inputs'!$H$32)^IFERROR(INDEX('MP Calculations'!$C$40:$C$130,MATCH(F127,'MP Calculations'!$D$40:$D$130,0),0),-1))</f>
        <v>144.13557214967338</v>
      </c>
    </row>
    <row r="128" spans="3:17">
      <c r="C128" s="159"/>
      <c r="D128" s="165" t="s">
        <v>291</v>
      </c>
      <c r="E128" s="161">
        <v>38537</v>
      </c>
      <c r="F128" s="172" t="str">
        <f t="shared" si="4"/>
        <v>2005-06</v>
      </c>
      <c r="G128" s="68"/>
      <c r="H128" s="167" t="s">
        <v>293</v>
      </c>
      <c r="I128" s="173">
        <v>20414.77563211487</v>
      </c>
      <c r="J128" s="168">
        <f>IFERROR(MIN('MP Calculations'!$E$30/I128,1),"-")</f>
        <v>0.40513348981719682</v>
      </c>
      <c r="K128" s="12"/>
      <c r="L128" s="159">
        <v>0.88460399999999995</v>
      </c>
      <c r="M128" s="159" t="s">
        <v>294</v>
      </c>
      <c r="N128" s="159">
        <v>589</v>
      </c>
      <c r="O128" s="185">
        <f>IF(N128="","-",L128*N128)</f>
        <v>521.03175599999997</v>
      </c>
      <c r="P128" s="215">
        <f t="shared" si="6"/>
        <v>211.08741361386217</v>
      </c>
      <c r="Q128" s="215" cm="1">
        <f t="array" ref="Q128">IF(P128="-",0,P128/(1+'General inputs'!$H$32)^IFERROR(INDEX('MP Calculations'!$C$40:$C$130,MATCH(F128,'MP Calculations'!$D$40:$D$130,0),0),-1))</f>
        <v>424.8284187609608</v>
      </c>
    </row>
    <row r="129" spans="3:17">
      <c r="C129" s="159"/>
      <c r="D129" s="165" t="s">
        <v>291</v>
      </c>
      <c r="E129" s="161">
        <v>38537</v>
      </c>
      <c r="F129" s="172" t="str">
        <f t="shared" si="4"/>
        <v>2005-06</v>
      </c>
      <c r="G129" s="68"/>
      <c r="H129" s="167" t="s">
        <v>293</v>
      </c>
      <c r="I129" s="173">
        <v>20414.77563211487</v>
      </c>
      <c r="J129" s="168">
        <f>IFERROR(MIN('MP Calculations'!$E$30/I129,1),"-")</f>
        <v>0.40513348981719682</v>
      </c>
      <c r="K129" s="12"/>
      <c r="L129" s="159">
        <v>0.34881099999999998</v>
      </c>
      <c r="M129" s="159" t="s">
        <v>294</v>
      </c>
      <c r="N129" s="159">
        <v>589</v>
      </c>
      <c r="O129" s="185">
        <f t="shared" ref="O129:O192" si="7">IF(N129="","-",L129*N129)</f>
        <v>205.449679</v>
      </c>
      <c r="P129" s="215">
        <f t="shared" si="6"/>
        <v>83.234545435092855</v>
      </c>
      <c r="Q129" s="215" cm="1">
        <f t="array" ref="Q129">IF(P129="-",0,P129/(1+'General inputs'!$H$32)^IFERROR(INDEX('MP Calculations'!$C$40:$C$130,MATCH(F129,'MP Calculations'!$D$40:$D$130,0),0),-1))</f>
        <v>167.51543693723914</v>
      </c>
    </row>
    <row r="130" spans="3:17">
      <c r="C130" s="159"/>
      <c r="D130" s="165" t="s">
        <v>288</v>
      </c>
      <c r="E130" s="161">
        <v>38537</v>
      </c>
      <c r="F130" s="172" t="str">
        <f t="shared" si="4"/>
        <v>2005-06</v>
      </c>
      <c r="G130" s="68"/>
      <c r="H130" s="167" t="s">
        <v>293</v>
      </c>
      <c r="I130" s="173">
        <v>20414.77563211487</v>
      </c>
      <c r="J130" s="168">
        <f>IFERROR(MIN('MP Calculations'!$E$30/I130,1),"-")</f>
        <v>0.40513348981719682</v>
      </c>
      <c r="K130" s="12"/>
      <c r="L130" s="159">
        <v>39.018746999999998</v>
      </c>
      <c r="M130" s="159" t="s">
        <v>294</v>
      </c>
      <c r="N130" s="159">
        <v>726</v>
      </c>
      <c r="O130" s="185">
        <f t="shared" si="7"/>
        <v>28327.610321999997</v>
      </c>
      <c r="P130" s="215">
        <f t="shared" si="6"/>
        <v>11476.463627933505</v>
      </c>
      <c r="Q130" s="215" cm="1">
        <f t="array" ref="Q130">IF(P130="-",0,P130/(1+'General inputs'!$H$32)^IFERROR(INDEX('MP Calculations'!$C$40:$C$130,MATCH(F130,'MP Calculations'!$D$40:$D$130,0),0),-1))</f>
        <v>23097.198513888528</v>
      </c>
    </row>
    <row r="131" spans="3:17">
      <c r="C131" s="159"/>
      <c r="D131" s="165" t="s">
        <v>288</v>
      </c>
      <c r="E131" s="161">
        <v>38537</v>
      </c>
      <c r="F131" s="172" t="str">
        <f t="shared" si="4"/>
        <v>2005-06</v>
      </c>
      <c r="G131" s="68"/>
      <c r="H131" s="167" t="s">
        <v>293</v>
      </c>
      <c r="I131" s="173">
        <v>20414.77563211487</v>
      </c>
      <c r="J131" s="168">
        <f>IFERROR(MIN('MP Calculations'!$E$30/I131,1),"-")</f>
        <v>0.40513348981719682</v>
      </c>
      <c r="K131" s="12"/>
      <c r="L131" s="159">
        <v>8.9999140000000004</v>
      </c>
      <c r="M131" s="159" t="s">
        <v>294</v>
      </c>
      <c r="N131" s="159">
        <v>726</v>
      </c>
      <c r="O131" s="185">
        <f t="shared" si="7"/>
        <v>6533.9375640000007</v>
      </c>
      <c r="P131" s="215">
        <f t="shared" si="6"/>
        <v>2647.1169275509942</v>
      </c>
      <c r="Q131" s="215" cm="1">
        <f t="array" ref="Q131">IF(P131="-",0,P131/(1+'General inputs'!$H$32)^IFERROR(INDEX('MP Calculations'!$C$40:$C$130,MATCH(F131,'MP Calculations'!$D$40:$D$130,0),0),-1))</f>
        <v>5327.5109081776673</v>
      </c>
    </row>
    <row r="132" spans="3:17">
      <c r="C132" s="159"/>
      <c r="D132" s="165" t="s">
        <v>288</v>
      </c>
      <c r="E132" s="161">
        <v>38537</v>
      </c>
      <c r="F132" s="172" t="str">
        <f t="shared" si="4"/>
        <v>2005-06</v>
      </c>
      <c r="G132" s="68"/>
      <c r="H132" s="167" t="s">
        <v>293</v>
      </c>
      <c r="I132" s="173">
        <v>20414.77563211487</v>
      </c>
      <c r="J132" s="168">
        <f>IFERROR(MIN('MP Calculations'!$E$30/I132,1),"-")</f>
        <v>0.40513348981719682</v>
      </c>
      <c r="K132" s="12"/>
      <c r="L132" s="159">
        <v>2.4476110000000002</v>
      </c>
      <c r="M132" s="159" t="s">
        <v>294</v>
      </c>
      <c r="N132" s="159">
        <v>726</v>
      </c>
      <c r="O132" s="185">
        <f t="shared" si="7"/>
        <v>1776.9655860000003</v>
      </c>
      <c r="P132" s="215">
        <f t="shared" si="6"/>
        <v>719.90826914124034</v>
      </c>
      <c r="Q132" s="215" cm="1">
        <f t="array" ref="Q132">IF(P132="-",0,P132/(1+'General inputs'!$H$32)^IFERROR(INDEX('MP Calculations'!$C$40:$C$130,MATCH(F132,'MP Calculations'!$D$40:$D$130,0),0),-1))</f>
        <v>1448.8665448887232</v>
      </c>
    </row>
    <row r="133" spans="3:17">
      <c r="C133" s="159"/>
      <c r="D133" s="165" t="s">
        <v>288</v>
      </c>
      <c r="E133" s="161">
        <v>38537</v>
      </c>
      <c r="F133" s="172" t="str">
        <f t="shared" si="4"/>
        <v>2005-06</v>
      </c>
      <c r="G133" s="68"/>
      <c r="H133" s="167" t="s">
        <v>293</v>
      </c>
      <c r="I133" s="173">
        <v>20414.77563211487</v>
      </c>
      <c r="J133" s="168">
        <f>IFERROR(MIN('MP Calculations'!$E$30/I133,1),"-")</f>
        <v>0.40513348981719682</v>
      </c>
      <c r="K133" s="12"/>
      <c r="L133" s="159">
        <v>169.525374</v>
      </c>
      <c r="M133" s="159" t="s">
        <v>294</v>
      </c>
      <c r="N133" s="159">
        <v>726</v>
      </c>
      <c r="O133" s="185">
        <f t="shared" si="7"/>
        <v>123075.421524</v>
      </c>
      <c r="P133" s="215">
        <f t="shared" si="6"/>
        <v>49861.975032740665</v>
      </c>
      <c r="Q133" s="215" cm="1">
        <f t="array" ref="Q133">IF(P133="-",0,P133/(1+'General inputs'!$H$32)^IFERROR(INDEX('MP Calculations'!$C$40:$C$130,MATCH(F133,'MP Calculations'!$D$40:$D$130,0),0),-1))</f>
        <v>100350.76770710238</v>
      </c>
    </row>
    <row r="134" spans="3:17">
      <c r="C134" s="159"/>
      <c r="D134" s="165" t="s">
        <v>291</v>
      </c>
      <c r="E134" s="161">
        <v>38537</v>
      </c>
      <c r="F134" s="172" t="str">
        <f t="shared" si="4"/>
        <v>2005-06</v>
      </c>
      <c r="G134" s="68"/>
      <c r="H134" s="167" t="s">
        <v>293</v>
      </c>
      <c r="I134" s="173">
        <v>20414.77563211487</v>
      </c>
      <c r="J134" s="168">
        <f>IFERROR(MIN('MP Calculations'!$E$30/I134,1),"-")</f>
        <v>0.40513348981719682</v>
      </c>
      <c r="K134" s="12"/>
      <c r="L134" s="159">
        <v>42.410214000000003</v>
      </c>
      <c r="M134" s="159" t="s">
        <v>294</v>
      </c>
      <c r="N134" s="159">
        <v>589</v>
      </c>
      <c r="O134" s="185">
        <f t="shared" si="7"/>
        <v>24979.616046000003</v>
      </c>
      <c r="P134" s="215">
        <f t="shared" si="6"/>
        <v>10120.079023009628</v>
      </c>
      <c r="Q134" s="215" cm="1">
        <f t="array" ref="Q134">IF(P134="-",0,P134/(1+'General inputs'!$H$32)^IFERROR(INDEX('MP Calculations'!$C$40:$C$130,MATCH(F134,'MP Calculations'!$D$40:$D$130,0),0),-1))</f>
        <v>20367.378118269829</v>
      </c>
    </row>
    <row r="135" spans="3:17">
      <c r="C135" s="159"/>
      <c r="D135" s="165" t="s">
        <v>288</v>
      </c>
      <c r="E135" s="161">
        <v>38537</v>
      </c>
      <c r="F135" s="172" t="str">
        <f t="shared" si="4"/>
        <v>2005-06</v>
      </c>
      <c r="G135" s="68"/>
      <c r="H135" s="167" t="s">
        <v>293</v>
      </c>
      <c r="I135" s="173">
        <v>20414.77563211487</v>
      </c>
      <c r="J135" s="168">
        <f>IFERROR(MIN('MP Calculations'!$E$30/I135,1),"-")</f>
        <v>0.40513348981719682</v>
      </c>
      <c r="K135" s="12"/>
      <c r="L135" s="159">
        <v>10.110939999999999</v>
      </c>
      <c r="M135" s="159" t="s">
        <v>294</v>
      </c>
      <c r="N135" s="159">
        <v>726</v>
      </c>
      <c r="O135" s="185">
        <f t="shared" si="7"/>
        <v>7340.5424399999993</v>
      </c>
      <c r="P135" s="215">
        <f t="shared" si="6"/>
        <v>2973.8995758684409</v>
      </c>
      <c r="Q135" s="215" cm="1">
        <f t="array" ref="Q135">IF(P135="-",0,P135/(1+'General inputs'!$H$32)^IFERROR(INDEX('MP Calculations'!$C$40:$C$130,MATCH(F135,'MP Calculations'!$D$40:$D$130,0),0),-1))</f>
        <v>5985.1842075301929</v>
      </c>
    </row>
    <row r="136" spans="3:17">
      <c r="C136" s="159"/>
      <c r="D136" s="165" t="s">
        <v>288</v>
      </c>
      <c r="E136" s="161">
        <v>38537</v>
      </c>
      <c r="F136" s="172" t="str">
        <f t="shared" si="4"/>
        <v>2005-06</v>
      </c>
      <c r="G136" s="68"/>
      <c r="H136" s="167" t="s">
        <v>293</v>
      </c>
      <c r="I136" s="173">
        <v>20414.77563211487</v>
      </c>
      <c r="J136" s="168">
        <f>IFERROR(MIN('MP Calculations'!$E$30/I136,1),"-")</f>
        <v>0.40513348981719682</v>
      </c>
      <c r="K136" s="12"/>
      <c r="L136" s="159">
        <v>1.9910669999999999</v>
      </c>
      <c r="M136" s="159" t="s">
        <v>294</v>
      </c>
      <c r="N136" s="159">
        <v>726</v>
      </c>
      <c r="O136" s="185">
        <f t="shared" si="7"/>
        <v>1445.5146419999999</v>
      </c>
      <c r="P136" s="215">
        <f t="shared" si="6"/>
        <v>585.62639149531583</v>
      </c>
      <c r="Q136" s="215" cm="1">
        <f t="array" ref="Q136">IF(P136="-",0,P136/(1+'General inputs'!$H$32)^IFERROR(INDEX('MP Calculations'!$C$40:$C$130,MATCH(F136,'MP Calculations'!$D$40:$D$130,0),0),-1))</f>
        <v>1178.6147246976559</v>
      </c>
    </row>
    <row r="137" spans="3:17">
      <c r="C137" s="159"/>
      <c r="D137" s="165" t="s">
        <v>288</v>
      </c>
      <c r="E137" s="161">
        <v>38537</v>
      </c>
      <c r="F137" s="172" t="str">
        <f t="shared" si="4"/>
        <v>2005-06</v>
      </c>
      <c r="G137" s="68"/>
      <c r="H137" s="167" t="s">
        <v>293</v>
      </c>
      <c r="I137" s="173">
        <v>20414.77563211487</v>
      </c>
      <c r="J137" s="168">
        <f>IFERROR(MIN('MP Calculations'!$E$30/I137,1),"-")</f>
        <v>0.40513348981719682</v>
      </c>
      <c r="K137" s="12"/>
      <c r="L137" s="159">
        <v>412.69761299999999</v>
      </c>
      <c r="M137" s="159" t="s">
        <v>294</v>
      </c>
      <c r="N137" s="159">
        <v>726</v>
      </c>
      <c r="O137" s="185">
        <f t="shared" si="7"/>
        <v>299618.467038</v>
      </c>
      <c r="P137" s="215">
        <f t="shared" si="6"/>
        <v>121385.4751647837</v>
      </c>
      <c r="Q137" s="215" cm="1">
        <f t="array" ref="Q137">IF(P137="-",0,P137/(1+'General inputs'!$H$32)^IFERROR(INDEX('MP Calculations'!$C$40:$C$130,MATCH(F137,'MP Calculations'!$D$40:$D$130,0),0),-1))</f>
        <v>244296.89384102836</v>
      </c>
    </row>
    <row r="138" spans="3:17">
      <c r="C138" s="159"/>
      <c r="D138" s="165" t="s">
        <v>281</v>
      </c>
      <c r="E138" s="161">
        <v>38537</v>
      </c>
      <c r="F138" s="172" t="str">
        <f t="shared" si="4"/>
        <v>2005-06</v>
      </c>
      <c r="G138" s="68"/>
      <c r="H138" s="167" t="s">
        <v>293</v>
      </c>
      <c r="I138" s="173">
        <v>20414.77563211487</v>
      </c>
      <c r="J138" s="168">
        <f>IFERROR(MIN('MP Calculations'!$E$30/I138,1),"-")</f>
        <v>0.40513348981719682</v>
      </c>
      <c r="K138" s="12"/>
      <c r="L138" s="159">
        <v>0.31369399999999997</v>
      </c>
      <c r="M138" s="159" t="s">
        <v>294</v>
      </c>
      <c r="N138" s="159">
        <v>350</v>
      </c>
      <c r="O138" s="185">
        <f t="shared" si="7"/>
        <v>109.79289999999999</v>
      </c>
      <c r="P138" s="215">
        <f t="shared" si="6"/>
        <v>44.480780734150507</v>
      </c>
      <c r="Q138" s="215" cm="1">
        <f t="array" ref="Q138">IF(P138="-",0,P138/(1+'General inputs'!$H$32)^IFERROR(INDEX('MP Calculations'!$C$40:$C$130,MATCH(F138,'MP Calculations'!$D$40:$D$130,0),0),-1))</f>
        <v>89.520731819233475</v>
      </c>
    </row>
    <row r="139" spans="3:17">
      <c r="C139" s="159"/>
      <c r="D139" s="165" t="s">
        <v>291</v>
      </c>
      <c r="E139" s="161">
        <v>38537</v>
      </c>
      <c r="F139" s="172" t="str">
        <f t="shared" si="4"/>
        <v>2005-06</v>
      </c>
      <c r="G139" s="68"/>
      <c r="H139" s="167" t="s">
        <v>293</v>
      </c>
      <c r="I139" s="173">
        <v>20414.77563211487</v>
      </c>
      <c r="J139" s="168">
        <f>IFERROR(MIN('MP Calculations'!$E$30/I139,1),"-")</f>
        <v>0.40513348981719682</v>
      </c>
      <c r="K139" s="12"/>
      <c r="L139" s="159">
        <v>0.49998500000000001</v>
      </c>
      <c r="M139" s="159" t="s">
        <v>294</v>
      </c>
      <c r="N139" s="159">
        <v>589</v>
      </c>
      <c r="O139" s="185">
        <f t="shared" si="7"/>
        <v>294.49116500000002</v>
      </c>
      <c r="P139" s="215">
        <f t="shared" si="6"/>
        <v>119.30823339678194</v>
      </c>
      <c r="Q139" s="215" cm="1">
        <f t="array" ref="Q139">IF(P139="-",0,P139/(1+'General inputs'!$H$32)^IFERROR(INDEX('MP Calculations'!$C$40:$C$130,MATCH(F139,'MP Calculations'!$D$40:$D$130,0),0),-1))</f>
        <v>240.11629718404961</v>
      </c>
    </row>
    <row r="140" spans="3:17">
      <c r="C140" s="159"/>
      <c r="D140" s="165" t="s">
        <v>288</v>
      </c>
      <c r="E140" s="161">
        <v>38537</v>
      </c>
      <c r="F140" s="172" t="str">
        <f t="shared" si="4"/>
        <v>2005-06</v>
      </c>
      <c r="G140" s="68"/>
      <c r="H140" s="167" t="s">
        <v>293</v>
      </c>
      <c r="I140" s="173">
        <v>20414.77563211487</v>
      </c>
      <c r="J140" s="168">
        <f>IFERROR(MIN('MP Calculations'!$E$30/I140,1),"-")</f>
        <v>0.40513348981719682</v>
      </c>
      <c r="K140" s="12"/>
      <c r="L140" s="159">
        <v>188.06222600000001</v>
      </c>
      <c r="M140" s="159" t="s">
        <v>294</v>
      </c>
      <c r="N140" s="159">
        <v>726</v>
      </c>
      <c r="O140" s="185">
        <f t="shared" si="7"/>
        <v>136533.176076</v>
      </c>
      <c r="P140" s="215">
        <f t="shared" si="6"/>
        <v>55314.16209949569</v>
      </c>
      <c r="Q140" s="215" cm="1">
        <f t="array" ref="Q140">IF(P140="-",0,P140/(1+'General inputs'!$H$32)^IFERROR(INDEX('MP Calculations'!$C$40:$C$130,MATCH(F140,'MP Calculations'!$D$40:$D$130,0),0),-1))</f>
        <v>111323.68158530998</v>
      </c>
    </row>
    <row r="141" spans="3:17">
      <c r="C141" s="159"/>
      <c r="D141" s="165" t="s">
        <v>291</v>
      </c>
      <c r="E141" s="161">
        <v>38537</v>
      </c>
      <c r="F141" s="172" t="str">
        <f t="shared" si="4"/>
        <v>2005-06</v>
      </c>
      <c r="G141" s="68"/>
      <c r="H141" s="167" t="s">
        <v>293</v>
      </c>
      <c r="I141" s="173">
        <v>20414.77563211487</v>
      </c>
      <c r="J141" s="168">
        <f>IFERROR(MIN('MP Calculations'!$E$30/I141,1),"-")</f>
        <v>0.40513348981719682</v>
      </c>
      <c r="K141" s="12"/>
      <c r="L141" s="159">
        <v>2.2995640000000002</v>
      </c>
      <c r="M141" s="159" t="s">
        <v>294</v>
      </c>
      <c r="N141" s="159">
        <v>589</v>
      </c>
      <c r="O141" s="185">
        <f t="shared" si="7"/>
        <v>1354.4431960000002</v>
      </c>
      <c r="P141" s="215">
        <f t="shared" si="6"/>
        <v>548.7302987546376</v>
      </c>
      <c r="Q141" s="215" cm="1">
        <f t="array" ref="Q141">IF(P141="-",0,P141/(1+'General inputs'!$H$32)^IFERROR(INDEX('MP Calculations'!$C$40:$C$130,MATCH(F141,'MP Calculations'!$D$40:$D$130,0),0),-1))</f>
        <v>1104.3587163969755</v>
      </c>
    </row>
    <row r="142" spans="3:17">
      <c r="C142" s="159"/>
      <c r="D142" s="165" t="s">
        <v>281</v>
      </c>
      <c r="E142" s="161">
        <v>38537</v>
      </c>
      <c r="F142" s="172" t="str">
        <f t="shared" si="4"/>
        <v>2005-06</v>
      </c>
      <c r="G142" s="68"/>
      <c r="H142" s="167" t="s">
        <v>293</v>
      </c>
      <c r="I142" s="173">
        <v>20414.77563211487</v>
      </c>
      <c r="J142" s="168">
        <f>IFERROR(MIN('MP Calculations'!$E$30/I142,1),"-")</f>
        <v>0.40513348981719682</v>
      </c>
      <c r="K142" s="12"/>
      <c r="L142" s="159">
        <v>40.934016</v>
      </c>
      <c r="M142" s="159" t="s">
        <v>294</v>
      </c>
      <c r="N142" s="159">
        <v>350</v>
      </c>
      <c r="O142" s="185">
        <f t="shared" si="7"/>
        <v>14326.9056</v>
      </c>
      <c r="P142" s="215">
        <f t="shared" si="6"/>
        <v>5804.3092640095401</v>
      </c>
      <c r="Q142" s="215" cm="1">
        <f t="array" ref="Q142">IF(P142="-",0,P142/(1+'General inputs'!$H$32)^IFERROR(INDEX('MP Calculations'!$C$40:$C$130,MATCH(F142,'MP Calculations'!$D$40:$D$130,0),0),-1))</f>
        <v>11681.584820303264</v>
      </c>
    </row>
    <row r="143" spans="3:17">
      <c r="C143" s="159"/>
      <c r="D143" s="165" t="s">
        <v>291</v>
      </c>
      <c r="E143" s="161">
        <v>38537</v>
      </c>
      <c r="F143" s="172" t="str">
        <f t="shared" si="4"/>
        <v>2005-06</v>
      </c>
      <c r="G143" s="68"/>
      <c r="H143" s="167" t="s">
        <v>293</v>
      </c>
      <c r="I143" s="173">
        <v>20414.77563211487</v>
      </c>
      <c r="J143" s="168">
        <f>IFERROR(MIN('MP Calculations'!$E$30/I143,1),"-")</f>
        <v>0.40513348981719682</v>
      </c>
      <c r="K143" s="12"/>
      <c r="L143" s="159">
        <v>2.8575270000000002</v>
      </c>
      <c r="M143" s="159" t="s">
        <v>294</v>
      </c>
      <c r="N143" s="159">
        <v>589</v>
      </c>
      <c r="O143" s="185">
        <f t="shared" si="7"/>
        <v>1683.0834030000001</v>
      </c>
      <c r="P143" s="215">
        <f t="shared" si="6"/>
        <v>681.87345271079346</v>
      </c>
      <c r="Q143" s="215" cm="1">
        <f t="array" ref="Q143">IF(P143="-",0,P143/(1+'General inputs'!$H$32)^IFERROR(INDEX('MP Calculations'!$C$40:$C$130,MATCH(F143,'MP Calculations'!$D$40:$D$130,0),0),-1))</f>
        <v>1372.3187742501186</v>
      </c>
    </row>
    <row r="144" spans="3:17">
      <c r="C144" s="159"/>
      <c r="D144" s="165" t="s">
        <v>291</v>
      </c>
      <c r="E144" s="161">
        <v>38537</v>
      </c>
      <c r="F144" s="172" t="str">
        <f t="shared" si="4"/>
        <v>2005-06</v>
      </c>
      <c r="G144" s="68"/>
      <c r="H144" s="167" t="s">
        <v>293</v>
      </c>
      <c r="I144" s="173">
        <v>20414.77563211487</v>
      </c>
      <c r="J144" s="168">
        <f>IFERROR(MIN('MP Calculations'!$E$30/I144,1),"-")</f>
        <v>0.40513348981719682</v>
      </c>
      <c r="K144" s="12"/>
      <c r="L144" s="159">
        <v>260.89334500000001</v>
      </c>
      <c r="M144" s="159" t="s">
        <v>294</v>
      </c>
      <c r="N144" s="159">
        <v>589</v>
      </c>
      <c r="O144" s="185">
        <f t="shared" si="7"/>
        <v>153666.18020500001</v>
      </c>
      <c r="P144" s="215">
        <f t="shared" si="6"/>
        <v>62255.315853329907</v>
      </c>
      <c r="Q144" s="215" cm="1">
        <f t="array" ref="Q144">IF(P144="-",0,P144/(1+'General inputs'!$H$32)^IFERROR(INDEX('MP Calculations'!$C$40:$C$130,MATCH(F144,'MP Calculations'!$D$40:$D$130,0),0),-1))</f>
        <v>125293.24672012316</v>
      </c>
    </row>
    <row r="145" spans="3:17">
      <c r="C145" s="159"/>
      <c r="D145" s="165" t="s">
        <v>281</v>
      </c>
      <c r="E145" s="161">
        <v>38537</v>
      </c>
      <c r="F145" s="172" t="str">
        <f t="shared" si="4"/>
        <v>2005-06</v>
      </c>
      <c r="G145" s="68"/>
      <c r="H145" s="167" t="s">
        <v>293</v>
      </c>
      <c r="I145" s="173">
        <v>20414.77563211487</v>
      </c>
      <c r="J145" s="168">
        <f>IFERROR(MIN('MP Calculations'!$E$30/I145,1),"-")</f>
        <v>0.40513348981719682</v>
      </c>
      <c r="K145" s="12"/>
      <c r="L145" s="159">
        <v>2.8004609999999999</v>
      </c>
      <c r="M145" s="159" t="s">
        <v>294</v>
      </c>
      <c r="N145" s="159">
        <v>350</v>
      </c>
      <c r="O145" s="185">
        <f t="shared" si="7"/>
        <v>980.16134999999997</v>
      </c>
      <c r="P145" s="215">
        <f t="shared" si="6"/>
        <v>397.09618830943487</v>
      </c>
      <c r="Q145" s="215" cm="1">
        <f t="array" ref="Q145">IF(P145="-",0,P145/(1+'General inputs'!$H$32)^IFERROR(INDEX('MP Calculations'!$C$40:$C$130,MATCH(F145,'MP Calculations'!$D$40:$D$130,0),0),-1))</f>
        <v>799.18429473060496</v>
      </c>
    </row>
    <row r="146" spans="3:17">
      <c r="C146" s="159"/>
      <c r="D146" s="165" t="s">
        <v>288</v>
      </c>
      <c r="E146" s="161">
        <v>38537</v>
      </c>
      <c r="F146" s="172" t="str">
        <f t="shared" si="4"/>
        <v>2005-06</v>
      </c>
      <c r="G146" s="68"/>
      <c r="H146" s="167" t="s">
        <v>293</v>
      </c>
      <c r="I146" s="173">
        <v>20414.77563211487</v>
      </c>
      <c r="J146" s="168">
        <f>IFERROR(MIN('MP Calculations'!$E$30/I146,1),"-")</f>
        <v>0.40513348981719682</v>
      </c>
      <c r="K146" s="12"/>
      <c r="L146" s="159">
        <v>2.0436359999999998</v>
      </c>
      <c r="M146" s="159" t="s">
        <v>294</v>
      </c>
      <c r="N146" s="159">
        <v>726</v>
      </c>
      <c r="O146" s="185">
        <f t="shared" si="7"/>
        <v>1483.6797359999998</v>
      </c>
      <c r="P146" s="215">
        <f t="shared" si="6"/>
        <v>601.08834921673724</v>
      </c>
      <c r="Q146" s="215" cm="1">
        <f t="array" ref="Q146">IF(P146="-",0,P146/(1+'General inputs'!$H$32)^IFERROR(INDEX('MP Calculations'!$C$40:$C$130,MATCH(F146,'MP Calculations'!$D$40:$D$130,0),0),-1))</f>
        <v>1209.7330132648569</v>
      </c>
    </row>
    <row r="147" spans="3:17">
      <c r="C147" s="159"/>
      <c r="D147" s="165" t="s">
        <v>291</v>
      </c>
      <c r="E147" s="161">
        <v>38537</v>
      </c>
      <c r="F147" s="172" t="str">
        <f t="shared" si="4"/>
        <v>2005-06</v>
      </c>
      <c r="G147" s="68"/>
      <c r="H147" s="167" t="s">
        <v>293</v>
      </c>
      <c r="I147" s="173">
        <v>20414.77563211487</v>
      </c>
      <c r="J147" s="168">
        <f>IFERROR(MIN('MP Calculations'!$E$30/I147,1),"-")</f>
        <v>0.40513348981719682</v>
      </c>
      <c r="K147" s="12"/>
      <c r="L147" s="159">
        <v>1.917564</v>
      </c>
      <c r="M147" s="159" t="s">
        <v>294</v>
      </c>
      <c r="N147" s="159">
        <v>589</v>
      </c>
      <c r="O147" s="185">
        <f t="shared" si="7"/>
        <v>1129.4451960000001</v>
      </c>
      <c r="P147" s="215">
        <f t="shared" si="6"/>
        <v>457.57607381274789</v>
      </c>
      <c r="Q147" s="215" cm="1">
        <f t="array" ref="Q147">IF(P147="-",0,P147/(1+'General inputs'!$H$32)^IFERROR(INDEX('MP Calculations'!$C$40:$C$130,MATCH(F147,'MP Calculations'!$D$40:$D$130,0),0),-1))</f>
        <v>920.90436171772126</v>
      </c>
    </row>
    <row r="148" spans="3:17">
      <c r="C148" s="159"/>
      <c r="D148" s="165" t="s">
        <v>288</v>
      </c>
      <c r="E148" s="161">
        <v>38537</v>
      </c>
      <c r="F148" s="172" t="str">
        <f t="shared" si="4"/>
        <v>2005-06</v>
      </c>
      <c r="G148" s="68"/>
      <c r="H148" s="167" t="s">
        <v>293</v>
      </c>
      <c r="I148" s="173">
        <v>20414.77563211487</v>
      </c>
      <c r="J148" s="168">
        <f>IFERROR(MIN('MP Calculations'!$E$30/I148,1),"-")</f>
        <v>0.40513348981719682</v>
      </c>
      <c r="K148" s="12"/>
      <c r="L148" s="159">
        <v>0.98717999999999995</v>
      </c>
      <c r="M148" s="159" t="s">
        <v>294</v>
      </c>
      <c r="N148" s="159">
        <v>726</v>
      </c>
      <c r="O148" s="185">
        <f t="shared" si="7"/>
        <v>716.69268</v>
      </c>
      <c r="P148" s="215">
        <f t="shared" si="6"/>
        <v>290.35620657483952</v>
      </c>
      <c r="Q148" s="215" cm="1">
        <f t="array" ref="Q148">IF(P148="-",0,P148/(1+'General inputs'!$H$32)^IFERROR(INDEX('MP Calculations'!$C$40:$C$130,MATCH(F148,'MP Calculations'!$D$40:$D$130,0),0),-1))</f>
        <v>584.36249705661953</v>
      </c>
    </row>
    <row r="149" spans="3:17">
      <c r="C149" s="159"/>
      <c r="D149" s="165" t="s">
        <v>288</v>
      </c>
      <c r="E149" s="161">
        <v>38537</v>
      </c>
      <c r="F149" s="172" t="str">
        <f t="shared" si="4"/>
        <v>2005-06</v>
      </c>
      <c r="G149" s="68"/>
      <c r="H149" s="167" t="s">
        <v>293</v>
      </c>
      <c r="I149" s="173">
        <v>20414.77563211487</v>
      </c>
      <c r="J149" s="168">
        <f>IFERROR(MIN('MP Calculations'!$E$30/I149,1),"-")</f>
        <v>0.40513348981719682</v>
      </c>
      <c r="K149" s="12"/>
      <c r="L149" s="159">
        <v>27.000041</v>
      </c>
      <c r="M149" s="159" t="s">
        <v>294</v>
      </c>
      <c r="N149" s="159">
        <v>726</v>
      </c>
      <c r="O149" s="185">
        <f t="shared" si="7"/>
        <v>19602.029766</v>
      </c>
      <c r="P149" s="215">
        <f t="shared" si="6"/>
        <v>7941.4387266001495</v>
      </c>
      <c r="Q149" s="215" cm="1">
        <f t="array" ref="Q149">IF(P149="-",0,P149/(1+'General inputs'!$H$32)^IFERROR(INDEX('MP Calculations'!$C$40:$C$130,MATCH(F149,'MP Calculations'!$D$40:$D$130,0),0),-1))</f>
        <v>15982.709717975551</v>
      </c>
    </row>
    <row r="150" spans="3:17">
      <c r="C150" s="159"/>
      <c r="D150" s="165" t="s">
        <v>288</v>
      </c>
      <c r="E150" s="161">
        <v>38537</v>
      </c>
      <c r="F150" s="172" t="str">
        <f t="shared" ref="F150:F213" si="8">IF(E150="","-",IF(OR(E150&lt;$E$15,E150&gt;$E$16),"ERROR - date outside of range",IF(MONTH(E150)&gt;=7,YEAR(E150)&amp;"-"&amp;IF(YEAR(E150)=1999,"00",IF(AND(YEAR(E150)&gt;=2000,YEAR(E150)&lt;2009),"0","")&amp;RIGHT(YEAR(E150),2)+1),RIGHT(YEAR(E150),4)-1&amp;"-"&amp;RIGHT(YEAR(E150),2))))</f>
        <v>2005-06</v>
      </c>
      <c r="G150" s="68"/>
      <c r="H150" s="167" t="s">
        <v>293</v>
      </c>
      <c r="I150" s="173">
        <v>20414.77563211487</v>
      </c>
      <c r="J150" s="168">
        <f>IFERROR(MIN('MP Calculations'!$E$30/I150,1),"-")</f>
        <v>0.40513348981719682</v>
      </c>
      <c r="K150" s="12"/>
      <c r="L150" s="159">
        <v>1.0011939999999999</v>
      </c>
      <c r="M150" s="159" t="s">
        <v>294</v>
      </c>
      <c r="N150" s="159">
        <v>726</v>
      </c>
      <c r="O150" s="185">
        <f t="shared" si="7"/>
        <v>726.8668439999999</v>
      </c>
      <c r="P150" s="215">
        <f t="shared" si="6"/>
        <v>294.47810114213195</v>
      </c>
      <c r="Q150" s="215" cm="1">
        <f t="array" ref="Q150">IF(P150="-",0,P150/(1+'General inputs'!$H$32)^IFERROR(INDEX('MP Calculations'!$C$40:$C$130,MATCH(F150,'MP Calculations'!$D$40:$D$130,0),0),-1))</f>
        <v>592.65810275542958</v>
      </c>
    </row>
    <row r="151" spans="3:17">
      <c r="C151" s="159"/>
      <c r="D151" s="165" t="s">
        <v>291</v>
      </c>
      <c r="E151" s="161">
        <v>38537</v>
      </c>
      <c r="F151" s="172" t="str">
        <f t="shared" si="8"/>
        <v>2005-06</v>
      </c>
      <c r="G151" s="68"/>
      <c r="H151" s="167" t="s">
        <v>293</v>
      </c>
      <c r="I151" s="173">
        <v>20414.77563211487</v>
      </c>
      <c r="J151" s="168">
        <f>IFERROR(MIN('MP Calculations'!$E$30/I151,1),"-")</f>
        <v>0.40513348981719682</v>
      </c>
      <c r="K151" s="12"/>
      <c r="L151" s="159">
        <v>0.53969800000000001</v>
      </c>
      <c r="M151" s="159" t="s">
        <v>294</v>
      </c>
      <c r="N151" s="159">
        <v>589</v>
      </c>
      <c r="O151" s="185">
        <f t="shared" si="7"/>
        <v>317.88212199999998</v>
      </c>
      <c r="P151" s="215">
        <f t="shared" ref="P151:P214" si="9">IF(O151="-","-",IF(OR(E151&lt;$E$15,E151&gt;$E$16),0,O151*J151))</f>
        <v>128.78469343635592</v>
      </c>
      <c r="Q151" s="215" cm="1">
        <f t="array" ref="Q151">IF(P151="-",0,P151/(1+'General inputs'!$H$32)^IFERROR(INDEX('MP Calculations'!$C$40:$C$130,MATCH(F151,'MP Calculations'!$D$40:$D$130,0),0),-1))</f>
        <v>259.18834636566532</v>
      </c>
    </row>
    <row r="152" spans="3:17">
      <c r="C152" s="159"/>
      <c r="D152" s="165" t="s">
        <v>291</v>
      </c>
      <c r="E152" s="161">
        <v>38537</v>
      </c>
      <c r="F152" s="172" t="str">
        <f t="shared" si="8"/>
        <v>2005-06</v>
      </c>
      <c r="G152" s="68"/>
      <c r="H152" s="167" t="s">
        <v>293</v>
      </c>
      <c r="I152" s="173">
        <v>20414.77563211487</v>
      </c>
      <c r="J152" s="168">
        <f>IFERROR(MIN('MP Calculations'!$E$30/I152,1),"-")</f>
        <v>0.40513348981719682</v>
      </c>
      <c r="K152" s="12"/>
      <c r="L152" s="159">
        <v>0.45178400000000002</v>
      </c>
      <c r="M152" s="159" t="s">
        <v>294</v>
      </c>
      <c r="N152" s="159">
        <v>589</v>
      </c>
      <c r="O152" s="185">
        <f t="shared" si="7"/>
        <v>266.100776</v>
      </c>
      <c r="P152" s="215">
        <f t="shared" si="9"/>
        <v>107.80633602394417</v>
      </c>
      <c r="Q152" s="215" cm="1">
        <f t="array" ref="Q152">IF(P152="-",0,P152/(1+'General inputs'!$H$32)^IFERROR(INDEX('MP Calculations'!$C$40:$C$130,MATCH(F152,'MP Calculations'!$D$40:$D$130,0),0),-1))</f>
        <v>216.96791145134083</v>
      </c>
    </row>
    <row r="153" spans="3:17">
      <c r="C153" s="159"/>
      <c r="D153" s="165" t="s">
        <v>288</v>
      </c>
      <c r="E153" s="161">
        <v>38537</v>
      </c>
      <c r="F153" s="172" t="str">
        <f t="shared" si="8"/>
        <v>2005-06</v>
      </c>
      <c r="G153" s="68"/>
      <c r="H153" s="167" t="s">
        <v>293</v>
      </c>
      <c r="I153" s="173">
        <v>20414.77563211487</v>
      </c>
      <c r="J153" s="168">
        <f>IFERROR(MIN('MP Calculations'!$E$30/I153,1),"-")</f>
        <v>0.40513348981719682</v>
      </c>
      <c r="K153" s="12"/>
      <c r="L153" s="159">
        <v>30.77955</v>
      </c>
      <c r="M153" s="159" t="s">
        <v>294</v>
      </c>
      <c r="N153" s="159">
        <v>726</v>
      </c>
      <c r="O153" s="185">
        <f t="shared" si="7"/>
        <v>22345.953300000001</v>
      </c>
      <c r="P153" s="215">
        <f t="shared" si="9"/>
        <v>9053.0940437211066</v>
      </c>
      <c r="Q153" s="215" cm="1">
        <f t="array" ref="Q153">IF(P153="-",0,P153/(1+'General inputs'!$H$32)^IFERROR(INDEX('MP Calculations'!$C$40:$C$130,MATCH(F153,'MP Calculations'!$D$40:$D$130,0),0),-1))</f>
        <v>18219.995032596966</v>
      </c>
    </row>
    <row r="154" spans="3:17">
      <c r="C154" s="159"/>
      <c r="D154" s="165" t="s">
        <v>291</v>
      </c>
      <c r="E154" s="161">
        <v>38537</v>
      </c>
      <c r="F154" s="172" t="str">
        <f t="shared" si="8"/>
        <v>2005-06</v>
      </c>
      <c r="G154" s="68"/>
      <c r="H154" s="167" t="s">
        <v>293</v>
      </c>
      <c r="I154" s="173">
        <v>20414.77563211487</v>
      </c>
      <c r="J154" s="168">
        <f>IFERROR(MIN('MP Calculations'!$E$30/I154,1),"-")</f>
        <v>0.40513348981719682</v>
      </c>
      <c r="K154" s="12"/>
      <c r="L154" s="159">
        <v>6.2634119999999998</v>
      </c>
      <c r="M154" s="159" t="s">
        <v>294</v>
      </c>
      <c r="N154" s="159">
        <v>589</v>
      </c>
      <c r="O154" s="185">
        <f t="shared" si="7"/>
        <v>3689.149668</v>
      </c>
      <c r="P154" s="215">
        <f t="shared" si="9"/>
        <v>1494.5980794547932</v>
      </c>
      <c r="Q154" s="215" cm="1">
        <f t="array" ref="Q154">IF(P154="-",0,P154/(1+'General inputs'!$H$32)^IFERROR(INDEX('MP Calculations'!$C$40:$C$130,MATCH(F154,'MP Calculations'!$D$40:$D$130,0),0),-1))</f>
        <v>3007.984833901302</v>
      </c>
    </row>
    <row r="155" spans="3:17">
      <c r="C155" s="159"/>
      <c r="D155" s="165" t="s">
        <v>281</v>
      </c>
      <c r="E155" s="161">
        <v>38537</v>
      </c>
      <c r="F155" s="172" t="str">
        <f t="shared" si="8"/>
        <v>2005-06</v>
      </c>
      <c r="G155" s="68"/>
      <c r="H155" s="167" t="s">
        <v>293</v>
      </c>
      <c r="I155" s="173">
        <v>20414.77563211487</v>
      </c>
      <c r="J155" s="168">
        <f>IFERROR(MIN('MP Calculations'!$E$30/I155,1),"-")</f>
        <v>0.40513348981719682</v>
      </c>
      <c r="K155" s="12"/>
      <c r="L155" s="159">
        <v>7.0189909999999998</v>
      </c>
      <c r="M155" s="159" t="s">
        <v>294</v>
      </c>
      <c r="N155" s="159">
        <v>350</v>
      </c>
      <c r="O155" s="185">
        <f t="shared" si="7"/>
        <v>2456.6468500000001</v>
      </c>
      <c r="P155" s="215">
        <f t="shared" si="9"/>
        <v>995.26991158892372</v>
      </c>
      <c r="Q155" s="215" cm="1">
        <f t="array" ref="Q155">IF(P155="-",0,P155/(1+'General inputs'!$H$32)^IFERROR(INDEX('MP Calculations'!$C$40:$C$130,MATCH(F155,'MP Calculations'!$D$40:$D$130,0),0),-1))</f>
        <v>2003.0514161973563</v>
      </c>
    </row>
    <row r="156" spans="3:17">
      <c r="C156" s="159"/>
      <c r="D156" s="165" t="s">
        <v>291</v>
      </c>
      <c r="E156" s="161">
        <v>38537</v>
      </c>
      <c r="F156" s="172" t="str">
        <f t="shared" si="8"/>
        <v>2005-06</v>
      </c>
      <c r="G156" s="68"/>
      <c r="H156" s="167" t="s">
        <v>293</v>
      </c>
      <c r="I156" s="173">
        <v>20414.77563211487</v>
      </c>
      <c r="J156" s="168">
        <f>IFERROR(MIN('MP Calculations'!$E$30/I156,1),"-")</f>
        <v>0.40513348981719682</v>
      </c>
      <c r="K156" s="12"/>
      <c r="L156" s="159">
        <v>19.062608000000001</v>
      </c>
      <c r="M156" s="159" t="s">
        <v>294</v>
      </c>
      <c r="N156" s="159">
        <v>589</v>
      </c>
      <c r="O156" s="185">
        <f t="shared" si="7"/>
        <v>11227.876112</v>
      </c>
      <c r="P156" s="215">
        <f t="shared" si="9"/>
        <v>4548.788632489699</v>
      </c>
      <c r="Q156" s="215" cm="1">
        <f t="array" ref="Q156">IF(P156="-",0,P156/(1+'General inputs'!$H$32)^IFERROR(INDEX('MP Calculations'!$C$40:$C$130,MATCH(F156,'MP Calculations'!$D$40:$D$130,0),0),-1))</f>
        <v>9154.760338072223</v>
      </c>
    </row>
    <row r="157" spans="3:17">
      <c r="C157" s="159"/>
      <c r="D157" s="165" t="s">
        <v>288</v>
      </c>
      <c r="E157" s="161">
        <v>38537</v>
      </c>
      <c r="F157" s="172" t="str">
        <f t="shared" si="8"/>
        <v>2005-06</v>
      </c>
      <c r="G157" s="68"/>
      <c r="H157" s="167" t="s">
        <v>293</v>
      </c>
      <c r="I157" s="173">
        <v>20414.77563211487</v>
      </c>
      <c r="J157" s="168">
        <f>IFERROR(MIN('MP Calculations'!$E$30/I157,1),"-")</f>
        <v>0.40513348981719682</v>
      </c>
      <c r="K157" s="12"/>
      <c r="L157" s="159">
        <v>49.197848</v>
      </c>
      <c r="M157" s="159" t="s">
        <v>294</v>
      </c>
      <c r="N157" s="159">
        <v>726</v>
      </c>
      <c r="O157" s="185">
        <f t="shared" si="7"/>
        <v>35717.637648000004</v>
      </c>
      <c r="P157" s="215">
        <f t="shared" si="9"/>
        <v>14470.411188360335</v>
      </c>
      <c r="Q157" s="215" cm="1">
        <f t="array" ref="Q157">IF(P157="-",0,P157/(1+'General inputs'!$H$32)^IFERROR(INDEX('MP Calculations'!$C$40:$C$130,MATCH(F157,'MP Calculations'!$D$40:$D$130,0),0),-1))</f>
        <v>29122.730714856472</v>
      </c>
    </row>
    <row r="158" spans="3:17">
      <c r="C158" s="159"/>
      <c r="D158" s="165" t="s">
        <v>281</v>
      </c>
      <c r="E158" s="161">
        <v>38537</v>
      </c>
      <c r="F158" s="172" t="str">
        <f t="shared" si="8"/>
        <v>2005-06</v>
      </c>
      <c r="G158" s="68"/>
      <c r="H158" s="167" t="s">
        <v>293</v>
      </c>
      <c r="I158" s="173">
        <v>20414.77563211487</v>
      </c>
      <c r="J158" s="168">
        <f>IFERROR(MIN('MP Calculations'!$E$30/I158,1),"-")</f>
        <v>0.40513348981719682</v>
      </c>
      <c r="K158" s="12"/>
      <c r="L158" s="159">
        <v>9.0002379999999995</v>
      </c>
      <c r="M158" s="159" t="s">
        <v>294</v>
      </c>
      <c r="N158" s="159">
        <v>350</v>
      </c>
      <c r="O158" s="185">
        <f t="shared" si="7"/>
        <v>3150.0832999999998</v>
      </c>
      <c r="P158" s="215">
        <f t="shared" si="9"/>
        <v>1276.2042405438717</v>
      </c>
      <c r="Q158" s="215" cm="1">
        <f t="array" ref="Q158">IF(P158="-",0,P158/(1+'General inputs'!$H$32)^IFERROR(INDEX('MP Calculations'!$C$40:$C$130,MATCH(F158,'MP Calculations'!$D$40:$D$130,0),0),-1))</f>
        <v>2568.4517150703368</v>
      </c>
    </row>
    <row r="159" spans="3:17">
      <c r="C159" s="159"/>
      <c r="D159" s="165" t="s">
        <v>291</v>
      </c>
      <c r="E159" s="161">
        <v>38537</v>
      </c>
      <c r="F159" s="172" t="str">
        <f t="shared" si="8"/>
        <v>2005-06</v>
      </c>
      <c r="G159" s="68"/>
      <c r="H159" s="167" t="s">
        <v>293</v>
      </c>
      <c r="I159" s="173">
        <v>20414.77563211487</v>
      </c>
      <c r="J159" s="168">
        <f>IFERROR(MIN('MP Calculations'!$E$30/I159,1),"-")</f>
        <v>0.40513348981719682</v>
      </c>
      <c r="K159" s="12"/>
      <c r="L159" s="159">
        <v>9.0834790000000005</v>
      </c>
      <c r="M159" s="159" t="s">
        <v>294</v>
      </c>
      <c r="N159" s="159">
        <v>589</v>
      </c>
      <c r="O159" s="185">
        <f t="shared" si="7"/>
        <v>5350.1691310000006</v>
      </c>
      <c r="P159" s="215">
        <f t="shared" si="9"/>
        <v>2167.5326911542693</v>
      </c>
      <c r="Q159" s="215" cm="1">
        <f t="array" ref="Q159">IF(P159="-",0,P159/(1+'General inputs'!$H$32)^IFERROR(INDEX('MP Calculations'!$C$40:$C$130,MATCH(F159,'MP Calculations'!$D$40:$D$130,0),0),-1))</f>
        <v>4362.3135554648106</v>
      </c>
    </row>
    <row r="160" spans="3:17">
      <c r="C160" s="159"/>
      <c r="D160" s="165" t="s">
        <v>288</v>
      </c>
      <c r="E160" s="161">
        <v>38537</v>
      </c>
      <c r="F160" s="172" t="str">
        <f t="shared" si="8"/>
        <v>2005-06</v>
      </c>
      <c r="G160" s="68"/>
      <c r="H160" s="167" t="s">
        <v>293</v>
      </c>
      <c r="I160" s="173">
        <v>20414.77563211487</v>
      </c>
      <c r="J160" s="168">
        <f>IFERROR(MIN('MP Calculations'!$E$30/I160,1),"-")</f>
        <v>0.40513348981719682</v>
      </c>
      <c r="K160" s="12"/>
      <c r="L160" s="159">
        <v>324.74345799999998</v>
      </c>
      <c r="M160" s="159" t="s">
        <v>294</v>
      </c>
      <c r="N160" s="159">
        <v>726</v>
      </c>
      <c r="O160" s="185">
        <f t="shared" si="7"/>
        <v>235763.75050799997</v>
      </c>
      <c r="P160" s="215">
        <f t="shared" si="9"/>
        <v>95515.791015696945</v>
      </c>
      <c r="Q160" s="215" cm="1">
        <f t="array" ref="Q160">IF(P160="-",0,P160/(1+'General inputs'!$H$32)^IFERROR(INDEX('MP Calculations'!$C$40:$C$130,MATCH(F160,'MP Calculations'!$D$40:$D$130,0),0),-1))</f>
        <v>192232.31631483763</v>
      </c>
    </row>
    <row r="161" spans="3:17">
      <c r="C161" s="159"/>
      <c r="D161" s="165" t="s">
        <v>288</v>
      </c>
      <c r="E161" s="161">
        <v>38537</v>
      </c>
      <c r="F161" s="172" t="str">
        <f t="shared" si="8"/>
        <v>2005-06</v>
      </c>
      <c r="G161" s="68"/>
      <c r="H161" s="167" t="s">
        <v>293</v>
      </c>
      <c r="I161" s="173">
        <v>20414.77563211487</v>
      </c>
      <c r="J161" s="168">
        <f>IFERROR(MIN('MP Calculations'!$E$30/I161,1),"-")</f>
        <v>0.40513348981719682</v>
      </c>
      <c r="K161" s="12"/>
      <c r="L161" s="159">
        <v>31.147193999999999</v>
      </c>
      <c r="M161" s="159" t="s">
        <v>294</v>
      </c>
      <c r="N161" s="159">
        <v>726</v>
      </c>
      <c r="O161" s="185">
        <f t="shared" si="7"/>
        <v>22612.862843999999</v>
      </c>
      <c r="P161" s="215">
        <f t="shared" si="9"/>
        <v>9161.228038747342</v>
      </c>
      <c r="Q161" s="215" cm="1">
        <f t="array" ref="Q161">IF(P161="-",0,P161/(1+'General inputs'!$H$32)^IFERROR(INDEX('MP Calculations'!$C$40:$C$130,MATCH(F161,'MP Calculations'!$D$40:$D$130,0),0),-1))</f>
        <v>18437.622381072302</v>
      </c>
    </row>
    <row r="162" spans="3:17">
      <c r="C162" s="159"/>
      <c r="D162" s="165" t="s">
        <v>291</v>
      </c>
      <c r="E162" s="161">
        <v>38537</v>
      </c>
      <c r="F162" s="172" t="str">
        <f t="shared" si="8"/>
        <v>2005-06</v>
      </c>
      <c r="G162" s="68"/>
      <c r="H162" s="167" t="s">
        <v>293</v>
      </c>
      <c r="I162" s="173">
        <v>20414.77563211487</v>
      </c>
      <c r="J162" s="168">
        <f>IFERROR(MIN('MP Calculations'!$E$30/I162,1),"-")</f>
        <v>0.40513348981719682</v>
      </c>
      <c r="K162" s="12"/>
      <c r="L162" s="159">
        <v>1.182707</v>
      </c>
      <c r="M162" s="159" t="s">
        <v>294</v>
      </c>
      <c r="N162" s="159">
        <v>589</v>
      </c>
      <c r="O162" s="185">
        <f t="shared" si="7"/>
        <v>696.61442299999999</v>
      </c>
      <c r="P162" s="215">
        <f t="shared" si="9"/>
        <v>282.22183224698296</v>
      </c>
      <c r="Q162" s="215" cm="1">
        <f t="array" ref="Q162">IF(P162="-",0,P162/(1+'General inputs'!$H$32)^IFERROR(INDEX('MP Calculations'!$C$40:$C$130,MATCH(F162,'MP Calculations'!$D$40:$D$130,0),0),-1))</f>
        <v>567.99149073203341</v>
      </c>
    </row>
    <row r="163" spans="3:17">
      <c r="C163" s="159"/>
      <c r="D163" s="165" t="s">
        <v>291</v>
      </c>
      <c r="E163" s="161">
        <v>38537</v>
      </c>
      <c r="F163" s="172" t="str">
        <f t="shared" si="8"/>
        <v>2005-06</v>
      </c>
      <c r="G163" s="68"/>
      <c r="H163" s="167" t="s">
        <v>293</v>
      </c>
      <c r="I163" s="173">
        <v>20414.77563211487</v>
      </c>
      <c r="J163" s="168">
        <f>IFERROR(MIN('MP Calculations'!$E$30/I163,1),"-")</f>
        <v>0.40513348981719682</v>
      </c>
      <c r="K163" s="12"/>
      <c r="L163" s="159">
        <v>1.8143629999999999</v>
      </c>
      <c r="M163" s="159" t="s">
        <v>294</v>
      </c>
      <c r="N163" s="159">
        <v>589</v>
      </c>
      <c r="O163" s="185">
        <f t="shared" si="7"/>
        <v>1068.659807</v>
      </c>
      <c r="P163" s="215">
        <f t="shared" si="9"/>
        <v>432.94987703728202</v>
      </c>
      <c r="Q163" s="215" cm="1">
        <f t="array" ref="Q163">IF(P163="-",0,P163/(1+'General inputs'!$H$32)^IFERROR(INDEX('MP Calculations'!$C$40:$C$130,MATCH(F163,'MP Calculations'!$D$40:$D$130,0),0),-1))</f>
        <v>871.34239088721404</v>
      </c>
    </row>
    <row r="164" spans="3:17">
      <c r="C164" s="159"/>
      <c r="D164" s="165" t="s">
        <v>291</v>
      </c>
      <c r="E164" s="161">
        <v>38537</v>
      </c>
      <c r="F164" s="172" t="str">
        <f t="shared" si="8"/>
        <v>2005-06</v>
      </c>
      <c r="G164" s="68"/>
      <c r="H164" s="167" t="s">
        <v>293</v>
      </c>
      <c r="I164" s="173">
        <v>20414.77563211487</v>
      </c>
      <c r="J164" s="168">
        <f>IFERROR(MIN('MP Calculations'!$E$30/I164,1),"-")</f>
        <v>0.40513348981719682</v>
      </c>
      <c r="K164" s="12"/>
      <c r="L164" s="159">
        <v>294.55694399999999</v>
      </c>
      <c r="M164" s="159" t="s">
        <v>294</v>
      </c>
      <c r="N164" s="159">
        <v>589</v>
      </c>
      <c r="O164" s="185">
        <f t="shared" si="7"/>
        <v>173494.04001599998</v>
      </c>
      <c r="P164" s="215">
        <f t="shared" si="9"/>
        <v>70288.245894166466</v>
      </c>
      <c r="Q164" s="215" cm="1">
        <f t="array" ref="Q164">IF(P164="-",0,P164/(1+'General inputs'!$H$32)^IFERROR(INDEX('MP Calculations'!$C$40:$C$130,MATCH(F164,'MP Calculations'!$D$40:$D$130,0),0),-1))</f>
        <v>141460.08920893515</v>
      </c>
    </row>
    <row r="165" spans="3:17">
      <c r="C165" s="159"/>
      <c r="D165" s="165" t="s">
        <v>291</v>
      </c>
      <c r="E165" s="161">
        <v>38537</v>
      </c>
      <c r="F165" s="172" t="str">
        <f t="shared" si="8"/>
        <v>2005-06</v>
      </c>
      <c r="G165" s="68"/>
      <c r="H165" s="167" t="s">
        <v>293</v>
      </c>
      <c r="I165" s="173">
        <v>20414.77563211487</v>
      </c>
      <c r="J165" s="168">
        <f>IFERROR(MIN('MP Calculations'!$E$30/I165,1),"-")</f>
        <v>0.40513348981719682</v>
      </c>
      <c r="K165" s="12"/>
      <c r="L165" s="159">
        <v>4.3133670000000004</v>
      </c>
      <c r="M165" s="159" t="s">
        <v>294</v>
      </c>
      <c r="N165" s="159">
        <v>589</v>
      </c>
      <c r="O165" s="185">
        <f t="shared" si="7"/>
        <v>2540.573163</v>
      </c>
      <c r="P165" s="215">
        <f t="shared" si="9"/>
        <v>1029.271271662104</v>
      </c>
      <c r="Q165" s="215" cm="1">
        <f t="array" ref="Q165">IF(P165="-",0,P165/(1+'General inputs'!$H$32)^IFERROR(INDEX('MP Calculations'!$C$40:$C$130,MATCH(F165,'MP Calculations'!$D$40:$D$130,0),0),-1))</f>
        <v>2071.4815693188243</v>
      </c>
    </row>
    <row r="166" spans="3:17">
      <c r="C166" s="159"/>
      <c r="D166" s="165" t="s">
        <v>291</v>
      </c>
      <c r="E166" s="161">
        <v>38537</v>
      </c>
      <c r="F166" s="172" t="str">
        <f t="shared" si="8"/>
        <v>2005-06</v>
      </c>
      <c r="G166" s="68"/>
      <c r="H166" s="167" t="s">
        <v>293</v>
      </c>
      <c r="I166" s="173">
        <v>20414.77563211487</v>
      </c>
      <c r="J166" s="168">
        <f>IFERROR(MIN('MP Calculations'!$E$30/I166,1),"-")</f>
        <v>0.40513348981719682</v>
      </c>
      <c r="K166" s="12"/>
      <c r="L166" s="159">
        <v>8.2259840000000004</v>
      </c>
      <c r="M166" s="159" t="s">
        <v>294</v>
      </c>
      <c r="N166" s="159">
        <v>589</v>
      </c>
      <c r="O166" s="185">
        <f t="shared" si="7"/>
        <v>4845.1045760000006</v>
      </c>
      <c r="P166" s="215">
        <f t="shared" si="9"/>
        <v>1962.9141254041499</v>
      </c>
      <c r="Q166" s="215" cm="1">
        <f t="array" ref="Q166">IF(P166="-",0,P166/(1+'General inputs'!$H$32)^IFERROR(INDEX('MP Calculations'!$C$40:$C$130,MATCH(F166,'MP Calculations'!$D$40:$D$130,0),0),-1))</f>
        <v>3950.5041526750542</v>
      </c>
    </row>
    <row r="167" spans="3:17">
      <c r="C167" s="159"/>
      <c r="D167" s="165" t="s">
        <v>288</v>
      </c>
      <c r="E167" s="161">
        <v>38537</v>
      </c>
      <c r="F167" s="172" t="str">
        <f t="shared" si="8"/>
        <v>2005-06</v>
      </c>
      <c r="G167" s="68"/>
      <c r="H167" s="167" t="s">
        <v>293</v>
      </c>
      <c r="I167" s="173">
        <v>20414.77563211487</v>
      </c>
      <c r="J167" s="168">
        <f>IFERROR(MIN('MP Calculations'!$E$30/I167,1),"-")</f>
        <v>0.40513348981719682</v>
      </c>
      <c r="K167" s="12"/>
      <c r="L167" s="159">
        <v>202.70848799999999</v>
      </c>
      <c r="M167" s="159" t="s">
        <v>294</v>
      </c>
      <c r="N167" s="159">
        <v>726</v>
      </c>
      <c r="O167" s="185">
        <f t="shared" si="7"/>
        <v>147166.362288</v>
      </c>
      <c r="P167" s="215">
        <f t="shared" si="9"/>
        <v>59622.021937439349</v>
      </c>
      <c r="Q167" s="215" cm="1">
        <f t="array" ref="Q167">IF(P167="-",0,P167/(1+'General inputs'!$H$32)^IFERROR(INDEX('MP Calculations'!$C$40:$C$130,MATCH(F167,'MP Calculations'!$D$40:$D$130,0),0),-1))</f>
        <v>119993.55560510929</v>
      </c>
    </row>
    <row r="168" spans="3:17">
      <c r="C168" s="159"/>
      <c r="D168" s="165" t="s">
        <v>291</v>
      </c>
      <c r="E168" s="161">
        <v>38537</v>
      </c>
      <c r="F168" s="172" t="str">
        <f t="shared" si="8"/>
        <v>2005-06</v>
      </c>
      <c r="G168" s="68"/>
      <c r="H168" s="167" t="s">
        <v>293</v>
      </c>
      <c r="I168" s="173">
        <v>20414.77563211487</v>
      </c>
      <c r="J168" s="168">
        <f>IFERROR(MIN('MP Calculations'!$E$30/I168,1),"-")</f>
        <v>0.40513348981719682</v>
      </c>
      <c r="K168" s="12"/>
      <c r="L168" s="159">
        <v>2.6192899999999999</v>
      </c>
      <c r="M168" s="159" t="s">
        <v>294</v>
      </c>
      <c r="N168" s="159">
        <v>589</v>
      </c>
      <c r="O168" s="185">
        <f t="shared" si="7"/>
        <v>1542.76181</v>
      </c>
      <c r="P168" s="215">
        <f t="shared" si="9"/>
        <v>625.02447604199517</v>
      </c>
      <c r="Q168" s="215" cm="1">
        <f t="array" ref="Q168">IF(P168="-",0,P168/(1+'General inputs'!$H$32)^IFERROR(INDEX('MP Calculations'!$C$40:$C$130,MATCH(F168,'MP Calculations'!$D$40:$D$130,0),0),-1))</f>
        <v>1257.9061692874971</v>
      </c>
    </row>
    <row r="169" spans="3:17">
      <c r="C169" s="159"/>
      <c r="D169" s="165" t="s">
        <v>291</v>
      </c>
      <c r="E169" s="161">
        <v>38537</v>
      </c>
      <c r="F169" s="172" t="str">
        <f t="shared" si="8"/>
        <v>2005-06</v>
      </c>
      <c r="G169" s="68"/>
      <c r="H169" s="167" t="s">
        <v>293</v>
      </c>
      <c r="I169" s="173">
        <v>20414.77563211487</v>
      </c>
      <c r="J169" s="168">
        <f>IFERROR(MIN('MP Calculations'!$E$30/I169,1),"-")</f>
        <v>0.40513348981719682</v>
      </c>
      <c r="K169" s="12"/>
      <c r="L169" s="159">
        <v>0.29625000000000001</v>
      </c>
      <c r="M169" s="159" t="s">
        <v>294</v>
      </c>
      <c r="N169" s="159">
        <v>589</v>
      </c>
      <c r="O169" s="185">
        <f t="shared" si="7"/>
        <v>174.49125000000001</v>
      </c>
      <c r="P169" s="215">
        <f t="shared" si="9"/>
        <v>70.692249055064948</v>
      </c>
      <c r="Q169" s="215" cm="1">
        <f t="array" ref="Q169">IF(P169="-",0,P169/(1+'General inputs'!$H$32)^IFERROR(INDEX('MP Calculations'!$C$40:$C$130,MATCH(F169,'MP Calculations'!$D$40:$D$130,0),0),-1))</f>
        <v>142.2731742767777</v>
      </c>
    </row>
    <row r="170" spans="3:17">
      <c r="C170" s="159"/>
      <c r="D170" s="165" t="s">
        <v>288</v>
      </c>
      <c r="E170" s="161">
        <v>38537</v>
      </c>
      <c r="F170" s="172" t="str">
        <f t="shared" si="8"/>
        <v>2005-06</v>
      </c>
      <c r="G170" s="68"/>
      <c r="H170" s="167" t="s">
        <v>293</v>
      </c>
      <c r="I170" s="173">
        <v>20414.77563211487</v>
      </c>
      <c r="J170" s="168">
        <f>IFERROR(MIN('MP Calculations'!$E$30/I170,1),"-")</f>
        <v>0.40513348981719682</v>
      </c>
      <c r="K170" s="12"/>
      <c r="L170" s="159">
        <v>12.849128</v>
      </c>
      <c r="M170" s="159" t="s">
        <v>294</v>
      </c>
      <c r="N170" s="159">
        <v>726</v>
      </c>
      <c r="O170" s="185">
        <f t="shared" si="7"/>
        <v>9328.4669279999998</v>
      </c>
      <c r="P170" s="215">
        <f t="shared" si="9"/>
        <v>3779.2743611849451</v>
      </c>
      <c r="Q170" s="215" cm="1">
        <f t="array" ref="Q170">IF(P170="-",0,P170/(1+'General inputs'!$H$32)^IFERROR(INDEX('MP Calculations'!$C$40:$C$130,MATCH(F170,'MP Calculations'!$D$40:$D$130,0),0),-1))</f>
        <v>7606.058189063926</v>
      </c>
    </row>
    <row r="171" spans="3:17">
      <c r="C171" s="159"/>
      <c r="D171" s="165" t="s">
        <v>281</v>
      </c>
      <c r="E171" s="161">
        <v>38537</v>
      </c>
      <c r="F171" s="172" t="str">
        <f t="shared" si="8"/>
        <v>2005-06</v>
      </c>
      <c r="G171" s="68"/>
      <c r="H171" s="167" t="s">
        <v>293</v>
      </c>
      <c r="I171" s="173">
        <v>20414.77563211487</v>
      </c>
      <c r="J171" s="168">
        <f>IFERROR(MIN('MP Calculations'!$E$30/I171,1),"-")</f>
        <v>0.40513348981719682</v>
      </c>
      <c r="K171" s="12"/>
      <c r="L171" s="159">
        <v>0.95954200000000001</v>
      </c>
      <c r="M171" s="159" t="s">
        <v>294</v>
      </c>
      <c r="N171" s="159">
        <v>350</v>
      </c>
      <c r="O171" s="185">
        <f t="shared" si="7"/>
        <v>335.83969999999999</v>
      </c>
      <c r="P171" s="215">
        <f t="shared" si="9"/>
        <v>136.05990968016044</v>
      </c>
      <c r="Q171" s="215" cm="1">
        <f t="array" ref="Q171">IF(P171="-",0,P171/(1+'General inputs'!$H$32)^IFERROR(INDEX('MP Calculations'!$C$40:$C$130,MATCH(F171,'MP Calculations'!$D$40:$D$130,0),0),-1))</f>
        <v>273.83023599842818</v>
      </c>
    </row>
    <row r="172" spans="3:17">
      <c r="C172" s="159"/>
      <c r="D172" s="165" t="s">
        <v>288</v>
      </c>
      <c r="E172" s="161">
        <v>38537</v>
      </c>
      <c r="F172" s="172" t="str">
        <f t="shared" si="8"/>
        <v>2005-06</v>
      </c>
      <c r="G172" s="68"/>
      <c r="H172" s="167" t="s">
        <v>293</v>
      </c>
      <c r="I172" s="173">
        <v>20414.77563211487</v>
      </c>
      <c r="J172" s="168">
        <f>IFERROR(MIN('MP Calculations'!$E$30/I172,1),"-")</f>
        <v>0.40513348981719682</v>
      </c>
      <c r="K172" s="12"/>
      <c r="L172" s="159">
        <v>153.35289</v>
      </c>
      <c r="M172" s="159" t="s">
        <v>294</v>
      </c>
      <c r="N172" s="159">
        <v>726</v>
      </c>
      <c r="O172" s="185">
        <f t="shared" si="7"/>
        <v>111334.19814000001</v>
      </c>
      <c r="P172" s="215">
        <f t="shared" si="9"/>
        <v>45105.212228457465</v>
      </c>
      <c r="Q172" s="215" cm="1">
        <f t="array" ref="Q172">IF(P172="-",0,P172/(1+'General inputs'!$H$32)^IFERROR(INDEX('MP Calculations'!$C$40:$C$130,MATCH(F172,'MP Calculations'!$D$40:$D$130,0),0),-1))</f>
        <v>90777.444570644759</v>
      </c>
    </row>
    <row r="173" spans="3:17">
      <c r="C173" s="159"/>
      <c r="D173" s="165" t="s">
        <v>291</v>
      </c>
      <c r="E173" s="161">
        <v>38537</v>
      </c>
      <c r="F173" s="172" t="str">
        <f t="shared" si="8"/>
        <v>2005-06</v>
      </c>
      <c r="G173" s="68"/>
      <c r="H173" s="167" t="s">
        <v>293</v>
      </c>
      <c r="I173" s="173">
        <v>20414.77563211487</v>
      </c>
      <c r="J173" s="168">
        <f>IFERROR(MIN('MP Calculations'!$E$30/I173,1),"-")</f>
        <v>0.40513348981719682</v>
      </c>
      <c r="K173" s="12"/>
      <c r="L173" s="159">
        <v>196.663703</v>
      </c>
      <c r="M173" s="159" t="s">
        <v>294</v>
      </c>
      <c r="N173" s="159">
        <v>589</v>
      </c>
      <c r="O173" s="185">
        <f t="shared" si="7"/>
        <v>115834.921067</v>
      </c>
      <c r="P173" s="215">
        <f t="shared" si="9"/>
        <v>46928.605814573246</v>
      </c>
      <c r="Q173" s="215" cm="1">
        <f t="array" ref="Q173">IF(P173="-",0,P173/(1+'General inputs'!$H$32)^IFERROR(INDEX('MP Calculations'!$C$40:$C$130,MATCH(F173,'MP Calculations'!$D$40:$D$130,0),0),-1))</f>
        <v>94447.153724339063</v>
      </c>
    </row>
    <row r="174" spans="3:17">
      <c r="C174" s="159"/>
      <c r="D174" s="165" t="s">
        <v>291</v>
      </c>
      <c r="E174" s="161">
        <v>38537</v>
      </c>
      <c r="F174" s="172" t="str">
        <f t="shared" si="8"/>
        <v>2005-06</v>
      </c>
      <c r="G174" s="68"/>
      <c r="H174" s="167" t="s">
        <v>293</v>
      </c>
      <c r="I174" s="173">
        <v>20414.77563211487</v>
      </c>
      <c r="J174" s="168">
        <f>IFERROR(MIN('MP Calculations'!$E$30/I174,1),"-")</f>
        <v>0.40513348981719682</v>
      </c>
      <c r="K174" s="12"/>
      <c r="L174" s="159">
        <v>372.12081499999999</v>
      </c>
      <c r="M174" s="159" t="s">
        <v>294</v>
      </c>
      <c r="N174" s="159">
        <v>589</v>
      </c>
      <c r="O174" s="185">
        <f t="shared" si="7"/>
        <v>219179.16003500001</v>
      </c>
      <c r="P174" s="215">
        <f t="shared" si="9"/>
        <v>88796.818000181433</v>
      </c>
      <c r="Q174" s="215" cm="1">
        <f t="array" ref="Q174">IF(P174="-",0,P174/(1+'General inputs'!$H$32)^IFERROR(INDEX('MP Calculations'!$C$40:$C$130,MATCH(F174,'MP Calculations'!$D$40:$D$130,0),0),-1))</f>
        <v>178709.90570299258</v>
      </c>
    </row>
    <row r="175" spans="3:17">
      <c r="C175" s="159"/>
      <c r="D175" s="165" t="s">
        <v>288</v>
      </c>
      <c r="E175" s="161">
        <v>38537</v>
      </c>
      <c r="F175" s="172" t="str">
        <f t="shared" si="8"/>
        <v>2005-06</v>
      </c>
      <c r="G175" s="68"/>
      <c r="H175" s="167" t="s">
        <v>293</v>
      </c>
      <c r="I175" s="173">
        <v>20414.77563211487</v>
      </c>
      <c r="J175" s="168">
        <f>IFERROR(MIN('MP Calculations'!$E$30/I175,1),"-")</f>
        <v>0.40513348981719682</v>
      </c>
      <c r="K175" s="12"/>
      <c r="L175" s="159">
        <v>0.49812800000000002</v>
      </c>
      <c r="M175" s="159" t="s">
        <v>294</v>
      </c>
      <c r="N175" s="159">
        <v>726</v>
      </c>
      <c r="O175" s="185">
        <f t="shared" si="7"/>
        <v>361.64092800000003</v>
      </c>
      <c r="P175" s="215">
        <f t="shared" si="9"/>
        <v>146.51285122136963</v>
      </c>
      <c r="Q175" s="215" cm="1">
        <f t="array" ref="Q175">IF(P175="-",0,P175/(1+'General inputs'!$H$32)^IFERROR(INDEX('MP Calculations'!$C$40:$C$130,MATCH(F175,'MP Calculations'!$D$40:$D$130,0),0),-1))</f>
        <v>294.86752358619481</v>
      </c>
    </row>
    <row r="176" spans="3:17">
      <c r="C176" s="159"/>
      <c r="D176" s="165" t="s">
        <v>288</v>
      </c>
      <c r="E176" s="161">
        <v>38537</v>
      </c>
      <c r="F176" s="172" t="str">
        <f t="shared" si="8"/>
        <v>2005-06</v>
      </c>
      <c r="G176" s="68"/>
      <c r="H176" s="167" t="s">
        <v>293</v>
      </c>
      <c r="I176" s="173">
        <v>20414.77563211487</v>
      </c>
      <c r="J176" s="168">
        <f>IFERROR(MIN('MP Calculations'!$E$30/I176,1),"-")</f>
        <v>0.40513348981719682</v>
      </c>
      <c r="K176" s="12"/>
      <c r="L176" s="159">
        <v>17.251723999999999</v>
      </c>
      <c r="M176" s="159" t="s">
        <v>294</v>
      </c>
      <c r="N176" s="159">
        <v>726</v>
      </c>
      <c r="O176" s="185">
        <f t="shared" si="7"/>
        <v>12524.751624</v>
      </c>
      <c r="P176" s="215">
        <f t="shared" si="9"/>
        <v>5074.1963345247232</v>
      </c>
      <c r="Q176" s="215" cm="1">
        <f t="array" ref="Q176">IF(P176="-",0,P176/(1+'General inputs'!$H$32)^IFERROR(INDEX('MP Calculations'!$C$40:$C$130,MATCH(F176,'MP Calculations'!$D$40:$D$130,0),0),-1))</f>
        <v>10212.180671378686</v>
      </c>
    </row>
    <row r="177" spans="3:17">
      <c r="C177" s="159"/>
      <c r="D177" s="165" t="s">
        <v>291</v>
      </c>
      <c r="E177" s="161">
        <v>38537</v>
      </c>
      <c r="F177" s="172" t="str">
        <f t="shared" si="8"/>
        <v>2005-06</v>
      </c>
      <c r="G177" s="68"/>
      <c r="H177" s="167" t="s">
        <v>293</v>
      </c>
      <c r="I177" s="173">
        <v>20414.77563211487</v>
      </c>
      <c r="J177" s="168">
        <f>IFERROR(MIN('MP Calculations'!$E$30/I177,1),"-")</f>
        <v>0.40513348981719682</v>
      </c>
      <c r="K177" s="12"/>
      <c r="L177" s="159">
        <v>111.306995</v>
      </c>
      <c r="M177" s="159" t="s">
        <v>294</v>
      </c>
      <c r="N177" s="159">
        <v>589</v>
      </c>
      <c r="O177" s="185">
        <f t="shared" si="7"/>
        <v>65559.820055000004</v>
      </c>
      <c r="P177" s="215">
        <f t="shared" si="9"/>
        <v>26560.478690669599</v>
      </c>
      <c r="Q177" s="215" cm="1">
        <f t="array" ref="Q177">IF(P177="-",0,P177/(1+'General inputs'!$H$32)^IFERROR(INDEX('MP Calculations'!$C$40:$C$130,MATCH(F177,'MP Calculations'!$D$40:$D$130,0),0),-1))</f>
        <v>53454.850625685809</v>
      </c>
    </row>
    <row r="178" spans="3:17">
      <c r="C178" s="159"/>
      <c r="D178" s="165" t="s">
        <v>288</v>
      </c>
      <c r="E178" s="161">
        <v>38537</v>
      </c>
      <c r="F178" s="172" t="str">
        <f t="shared" si="8"/>
        <v>2005-06</v>
      </c>
      <c r="G178" s="68"/>
      <c r="H178" s="167" t="s">
        <v>293</v>
      </c>
      <c r="I178" s="173">
        <v>20414.77563211487</v>
      </c>
      <c r="J178" s="168">
        <f>IFERROR(MIN('MP Calculations'!$E$30/I178,1),"-")</f>
        <v>0.40513348981719682</v>
      </c>
      <c r="K178" s="12"/>
      <c r="L178" s="159">
        <v>0.49964999999999998</v>
      </c>
      <c r="M178" s="159" t="s">
        <v>294</v>
      </c>
      <c r="N178" s="159">
        <v>726</v>
      </c>
      <c r="O178" s="185">
        <f t="shared" si="7"/>
        <v>362.74590000000001</v>
      </c>
      <c r="P178" s="215">
        <f t="shared" si="9"/>
        <v>146.96051238387989</v>
      </c>
      <c r="Q178" s="215" cm="1">
        <f t="array" ref="Q178">IF(P178="-",0,P178/(1+'General inputs'!$H$32)^IFERROR(INDEX('MP Calculations'!$C$40:$C$130,MATCH(F178,'MP Calculations'!$D$40:$D$130,0),0),-1))</f>
        <v>295.76847348441004</v>
      </c>
    </row>
    <row r="179" spans="3:17">
      <c r="C179" s="159"/>
      <c r="D179" s="165" t="s">
        <v>288</v>
      </c>
      <c r="E179" s="161">
        <v>38537</v>
      </c>
      <c r="F179" s="172" t="str">
        <f t="shared" si="8"/>
        <v>2005-06</v>
      </c>
      <c r="G179" s="68"/>
      <c r="H179" s="167" t="s">
        <v>293</v>
      </c>
      <c r="I179" s="173">
        <v>20414.77563211487</v>
      </c>
      <c r="J179" s="168">
        <f>IFERROR(MIN('MP Calculations'!$E$30/I179,1),"-")</f>
        <v>0.40513348981719682</v>
      </c>
      <c r="K179" s="12"/>
      <c r="L179" s="159">
        <v>2.0562680000000002</v>
      </c>
      <c r="M179" s="159" t="s">
        <v>294</v>
      </c>
      <c r="N179" s="159">
        <v>726</v>
      </c>
      <c r="O179" s="185">
        <f t="shared" si="7"/>
        <v>1492.8505680000001</v>
      </c>
      <c r="P179" s="215">
        <f t="shared" si="9"/>
        <v>604.8037603894245</v>
      </c>
      <c r="Q179" s="215" cm="1">
        <f t="array" ref="Q179">IF(P179="-",0,P179/(1+'General inputs'!$H$32)^IFERROR(INDEX('MP Calculations'!$C$40:$C$130,MATCH(F179,'MP Calculations'!$D$40:$D$130,0),0),-1))</f>
        <v>1217.2105422492564</v>
      </c>
    </row>
    <row r="180" spans="3:17">
      <c r="C180" s="159"/>
      <c r="D180" s="165" t="s">
        <v>281</v>
      </c>
      <c r="E180" s="161">
        <v>38537</v>
      </c>
      <c r="F180" s="172" t="str">
        <f t="shared" si="8"/>
        <v>2005-06</v>
      </c>
      <c r="G180" s="68"/>
      <c r="H180" s="167" t="s">
        <v>293</v>
      </c>
      <c r="I180" s="173">
        <v>20414.77563211487</v>
      </c>
      <c r="J180" s="168">
        <f>IFERROR(MIN('MP Calculations'!$E$30/I180,1),"-")</f>
        <v>0.40513348981719682</v>
      </c>
      <c r="K180" s="12"/>
      <c r="L180" s="159">
        <v>0.63752799999999998</v>
      </c>
      <c r="M180" s="159" t="s">
        <v>294</v>
      </c>
      <c r="N180" s="159">
        <v>350</v>
      </c>
      <c r="O180" s="185">
        <f t="shared" si="7"/>
        <v>223.13479999999998</v>
      </c>
      <c r="P180" s="215">
        <f t="shared" si="9"/>
        <v>90.399380223662249</v>
      </c>
      <c r="Q180" s="215" cm="1">
        <f t="array" ref="Q180">IF(P180="-",0,P180/(1+'General inputs'!$H$32)^IFERROR(INDEX('MP Calculations'!$C$40:$C$130,MATCH(F180,'MP Calculations'!$D$40:$D$130,0),0),-1))</f>
        <v>181.93517604816248</v>
      </c>
    </row>
    <row r="181" spans="3:17">
      <c r="C181" s="159"/>
      <c r="D181" s="165" t="s">
        <v>288</v>
      </c>
      <c r="E181" s="161">
        <v>38537</v>
      </c>
      <c r="F181" s="172" t="str">
        <f t="shared" si="8"/>
        <v>2005-06</v>
      </c>
      <c r="G181" s="68"/>
      <c r="H181" s="167" t="s">
        <v>293</v>
      </c>
      <c r="I181" s="173">
        <v>20414.77563211487</v>
      </c>
      <c r="J181" s="168">
        <f>IFERROR(MIN('MP Calculations'!$E$30/I181,1),"-")</f>
        <v>0.40513348981719682</v>
      </c>
      <c r="K181" s="12"/>
      <c r="L181" s="159">
        <v>314.604895</v>
      </c>
      <c r="M181" s="159" t="s">
        <v>294</v>
      </c>
      <c r="N181" s="159">
        <v>726</v>
      </c>
      <c r="O181" s="185">
        <f t="shared" si="7"/>
        <v>228403.15377</v>
      </c>
      <c r="P181" s="215">
        <f t="shared" si="9"/>
        <v>92533.766772093935</v>
      </c>
      <c r="Q181" s="215" cm="1">
        <f t="array" ref="Q181">IF(P181="-",0,P181/(1+'General inputs'!$H$32)^IFERROR(INDEX('MP Calculations'!$C$40:$C$130,MATCH(F181,'MP Calculations'!$D$40:$D$130,0),0),-1))</f>
        <v>186230.78063619157</v>
      </c>
    </row>
    <row r="182" spans="3:17">
      <c r="C182" s="159"/>
      <c r="D182" s="165" t="s">
        <v>291</v>
      </c>
      <c r="E182" s="161">
        <v>38537</v>
      </c>
      <c r="F182" s="172" t="str">
        <f t="shared" si="8"/>
        <v>2005-06</v>
      </c>
      <c r="G182" s="68"/>
      <c r="H182" s="167" t="s">
        <v>293</v>
      </c>
      <c r="I182" s="173">
        <v>20414.77563211487</v>
      </c>
      <c r="J182" s="168">
        <f>IFERROR(MIN('MP Calculations'!$E$30/I182,1),"-")</f>
        <v>0.40513348981719682</v>
      </c>
      <c r="K182" s="12"/>
      <c r="L182" s="159">
        <v>253.157715</v>
      </c>
      <c r="M182" s="159" t="s">
        <v>294</v>
      </c>
      <c r="N182" s="159">
        <v>589</v>
      </c>
      <c r="O182" s="185">
        <f t="shared" si="7"/>
        <v>149109.89413500001</v>
      </c>
      <c r="P182" s="215">
        <f t="shared" si="9"/>
        <v>60409.41177718532</v>
      </c>
      <c r="Q182" s="215" cm="1">
        <f t="array" ref="Q182">IF(P182="-",0,P182/(1+'General inputs'!$H$32)^IFERROR(INDEX('MP Calculations'!$C$40:$C$130,MATCH(F182,'MP Calculations'!$D$40:$D$130,0),0),-1))</f>
        <v>121578.23360575803</v>
      </c>
    </row>
    <row r="183" spans="3:17">
      <c r="C183" s="159"/>
      <c r="D183" s="165" t="s">
        <v>288</v>
      </c>
      <c r="E183" s="161">
        <v>38537</v>
      </c>
      <c r="F183" s="172" t="str">
        <f t="shared" si="8"/>
        <v>2005-06</v>
      </c>
      <c r="G183" s="68"/>
      <c r="H183" s="167" t="s">
        <v>293</v>
      </c>
      <c r="I183" s="173">
        <v>20414.77563211487</v>
      </c>
      <c r="J183" s="168">
        <f>IFERROR(MIN('MP Calculations'!$E$30/I183,1),"-")</f>
        <v>0.40513348981719682</v>
      </c>
      <c r="K183" s="12"/>
      <c r="L183" s="159">
        <v>4.2058260000000001</v>
      </c>
      <c r="M183" s="159" t="s">
        <v>294</v>
      </c>
      <c r="N183" s="159">
        <v>726</v>
      </c>
      <c r="O183" s="185">
        <f t="shared" si="7"/>
        <v>3053.4296760000002</v>
      </c>
      <c r="P183" s="215">
        <f t="shared" si="9"/>
        <v>1237.0466205492726</v>
      </c>
      <c r="Q183" s="215" cm="1">
        <f t="array" ref="Q183">IF(P183="-",0,P183/(1+'General inputs'!$H$32)^IFERROR(INDEX('MP Calculations'!$C$40:$C$130,MATCH(F183,'MP Calculations'!$D$40:$D$130,0),0),-1))</f>
        <v>2489.6442224778193</v>
      </c>
    </row>
    <row r="184" spans="3:17">
      <c r="C184" s="159"/>
      <c r="D184" s="165" t="s">
        <v>291</v>
      </c>
      <c r="E184" s="161">
        <v>38537</v>
      </c>
      <c r="F184" s="172" t="str">
        <f t="shared" si="8"/>
        <v>2005-06</v>
      </c>
      <c r="G184" s="68"/>
      <c r="H184" s="167" t="s">
        <v>293</v>
      </c>
      <c r="I184" s="173">
        <v>20414.77563211487</v>
      </c>
      <c r="J184" s="168">
        <f>IFERROR(MIN('MP Calculations'!$E$30/I184,1),"-")</f>
        <v>0.40513348981719682</v>
      </c>
      <c r="K184" s="12"/>
      <c r="L184" s="159">
        <v>9.1321910000000006</v>
      </c>
      <c r="M184" s="159" t="s">
        <v>294</v>
      </c>
      <c r="N184" s="159">
        <v>589</v>
      </c>
      <c r="O184" s="185">
        <f t="shared" si="7"/>
        <v>5378.8604990000003</v>
      </c>
      <c r="P184" s="215">
        <f t="shared" si="9"/>
        <v>2179.156525199739</v>
      </c>
      <c r="Q184" s="215" cm="1">
        <f t="array" ref="Q184">IF(P184="-",0,P184/(1+'General inputs'!$H$32)^IFERROR(INDEX('MP Calculations'!$C$40:$C$130,MATCH(F184,'MP Calculations'!$D$40:$D$130,0),0),-1))</f>
        <v>4385.7073474154286</v>
      </c>
    </row>
    <row r="185" spans="3:17">
      <c r="C185" s="159"/>
      <c r="D185" s="165" t="s">
        <v>288</v>
      </c>
      <c r="E185" s="161">
        <v>38537</v>
      </c>
      <c r="F185" s="172" t="str">
        <f t="shared" si="8"/>
        <v>2005-06</v>
      </c>
      <c r="G185" s="68"/>
      <c r="H185" s="167" t="s">
        <v>293</v>
      </c>
      <c r="I185" s="173">
        <v>20414.77563211487</v>
      </c>
      <c r="J185" s="168">
        <f>IFERROR(MIN('MP Calculations'!$E$30/I185,1),"-")</f>
        <v>0.40513348981719682</v>
      </c>
      <c r="K185" s="12"/>
      <c r="L185" s="159">
        <v>0.976464</v>
      </c>
      <c r="M185" s="159" t="s">
        <v>294</v>
      </c>
      <c r="N185" s="159">
        <v>726</v>
      </c>
      <c r="O185" s="185">
        <f t="shared" si="7"/>
        <v>708.91286400000001</v>
      </c>
      <c r="P185" s="215">
        <f t="shared" si="9"/>
        <v>287.20434256862382</v>
      </c>
      <c r="Q185" s="215" cm="1">
        <f t="array" ref="Q185">IF(P185="-",0,P185/(1+'General inputs'!$H$32)^IFERROR(INDEX('MP Calculations'!$C$40:$C$130,MATCH(F185,'MP Calculations'!$D$40:$D$130,0),0),-1))</f>
        <v>578.01914678771334</v>
      </c>
    </row>
    <row r="186" spans="3:17">
      <c r="C186" s="159"/>
      <c r="D186" s="165" t="s">
        <v>291</v>
      </c>
      <c r="E186" s="161">
        <v>38537</v>
      </c>
      <c r="F186" s="172" t="str">
        <f t="shared" si="8"/>
        <v>2005-06</v>
      </c>
      <c r="G186" s="68"/>
      <c r="H186" s="167" t="s">
        <v>293</v>
      </c>
      <c r="I186" s="173">
        <v>20414.77563211487</v>
      </c>
      <c r="J186" s="168">
        <f>IFERROR(MIN('MP Calculations'!$E$30/I186,1),"-")</f>
        <v>0.40513348981719682</v>
      </c>
      <c r="K186" s="12"/>
      <c r="L186" s="159">
        <v>1.446177</v>
      </c>
      <c r="M186" s="159" t="s">
        <v>294</v>
      </c>
      <c r="N186" s="159">
        <v>589</v>
      </c>
      <c r="O186" s="185">
        <f t="shared" si="7"/>
        <v>851.79825300000005</v>
      </c>
      <c r="P186" s="215">
        <f t="shared" si="9"/>
        <v>345.09199885808158</v>
      </c>
      <c r="Q186" s="215" cm="1">
        <f t="array" ref="Q186">IF(P186="-",0,P186/(1+'General inputs'!$H$32)^IFERROR(INDEX('MP Calculations'!$C$40:$C$130,MATCH(F186,'MP Calculations'!$D$40:$D$130,0),0),-1))</f>
        <v>694.52216829052327</v>
      </c>
    </row>
    <row r="187" spans="3:17">
      <c r="C187" s="159"/>
      <c r="D187" s="165" t="s">
        <v>281</v>
      </c>
      <c r="E187" s="161">
        <v>38537</v>
      </c>
      <c r="F187" s="172" t="str">
        <f t="shared" si="8"/>
        <v>2005-06</v>
      </c>
      <c r="G187" s="68"/>
      <c r="H187" s="167" t="s">
        <v>293</v>
      </c>
      <c r="I187" s="173">
        <v>20414.77563211487</v>
      </c>
      <c r="J187" s="168">
        <f>IFERROR(MIN('MP Calculations'!$E$30/I187,1),"-")</f>
        <v>0.40513348981719682</v>
      </c>
      <c r="K187" s="12"/>
      <c r="L187" s="159">
        <v>62.804315000000003</v>
      </c>
      <c r="M187" s="159" t="s">
        <v>294</v>
      </c>
      <c r="N187" s="159">
        <v>350</v>
      </c>
      <c r="O187" s="185">
        <f t="shared" si="7"/>
        <v>21981.510249999999</v>
      </c>
      <c r="P187" s="215">
        <f t="shared" si="9"/>
        <v>8905.4459590349816</v>
      </c>
      <c r="Q187" s="215" cm="1">
        <f t="array" ref="Q187">IF(P187="-",0,P187/(1+'General inputs'!$H$32)^IFERROR(INDEX('MP Calculations'!$C$40:$C$130,MATCH(F187,'MP Calculations'!$D$40:$D$130,0),0),-1))</f>
        <v>17922.842770998686</v>
      </c>
    </row>
    <row r="188" spans="3:17">
      <c r="C188" s="159"/>
      <c r="D188" s="165" t="s">
        <v>291</v>
      </c>
      <c r="E188" s="161">
        <v>38537</v>
      </c>
      <c r="F188" s="172" t="str">
        <f t="shared" si="8"/>
        <v>2005-06</v>
      </c>
      <c r="G188" s="68"/>
      <c r="H188" s="167" t="s">
        <v>293</v>
      </c>
      <c r="I188" s="173">
        <v>20414.77563211487</v>
      </c>
      <c r="J188" s="168">
        <f>IFERROR(MIN('MP Calculations'!$E$30/I188,1),"-")</f>
        <v>0.40513348981719682</v>
      </c>
      <c r="K188" s="12"/>
      <c r="L188" s="159">
        <v>0.44758100000000001</v>
      </c>
      <c r="M188" s="159" t="s">
        <v>294</v>
      </c>
      <c r="N188" s="159">
        <v>589</v>
      </c>
      <c r="O188" s="185">
        <f t="shared" si="7"/>
        <v>263.62520899999998</v>
      </c>
      <c r="P188" s="215">
        <f t="shared" si="9"/>
        <v>106.80340092595787</v>
      </c>
      <c r="Q188" s="215" cm="1">
        <f t="array" ref="Q188">IF(P188="-",0,P188/(1+'General inputs'!$H$32)^IFERROR(INDEX('MP Calculations'!$C$40:$C$130,MATCH(F188,'MP Calculations'!$D$40:$D$130,0),0),-1))</f>
        <v>214.94943330286725</v>
      </c>
    </row>
    <row r="189" spans="3:17">
      <c r="C189" s="159"/>
      <c r="D189" s="165" t="s">
        <v>288</v>
      </c>
      <c r="E189" s="161">
        <v>38537</v>
      </c>
      <c r="F189" s="172" t="str">
        <f t="shared" si="8"/>
        <v>2005-06</v>
      </c>
      <c r="G189" s="68"/>
      <c r="H189" s="167" t="s">
        <v>293</v>
      </c>
      <c r="I189" s="173">
        <v>20414.77563211487</v>
      </c>
      <c r="J189" s="168">
        <f>IFERROR(MIN('MP Calculations'!$E$30/I189,1),"-")</f>
        <v>0.40513348981719682</v>
      </c>
      <c r="K189" s="12"/>
      <c r="L189" s="159">
        <v>1.6166970000000001</v>
      </c>
      <c r="M189" s="159" t="s">
        <v>294</v>
      </c>
      <c r="N189" s="159">
        <v>726</v>
      </c>
      <c r="O189" s="185">
        <f t="shared" si="7"/>
        <v>1173.7220219999999</v>
      </c>
      <c r="P189" s="215">
        <f t="shared" si="9"/>
        <v>475.51409884815666</v>
      </c>
      <c r="Q189" s="215" cm="1">
        <f t="array" ref="Q189">IF(P189="-",0,P189/(1+'General inputs'!$H$32)^IFERROR(INDEX('MP Calculations'!$C$40:$C$130,MATCH(F189,'MP Calculations'!$D$40:$D$130,0),0),-1))</f>
        <v>957.00591169183485</v>
      </c>
    </row>
    <row r="190" spans="3:17">
      <c r="C190" s="159"/>
      <c r="D190" s="165" t="s">
        <v>291</v>
      </c>
      <c r="E190" s="161">
        <v>38537</v>
      </c>
      <c r="F190" s="172" t="str">
        <f t="shared" si="8"/>
        <v>2005-06</v>
      </c>
      <c r="G190" s="68"/>
      <c r="H190" s="167" t="s">
        <v>293</v>
      </c>
      <c r="I190" s="173">
        <v>20414.77563211487</v>
      </c>
      <c r="J190" s="168">
        <f>IFERROR(MIN('MP Calculations'!$E$30/I190,1),"-")</f>
        <v>0.40513348981719682</v>
      </c>
      <c r="K190" s="12"/>
      <c r="L190" s="159">
        <v>5.7934210000000004</v>
      </c>
      <c r="M190" s="159" t="s">
        <v>294</v>
      </c>
      <c r="N190" s="159">
        <v>589</v>
      </c>
      <c r="O190" s="185">
        <f t="shared" si="7"/>
        <v>3412.3249690000002</v>
      </c>
      <c r="P190" s="215">
        <f t="shared" si="9"/>
        <v>1382.4471230813281</v>
      </c>
      <c r="Q190" s="215" cm="1">
        <f t="array" ref="Q190">IF(P190="-",0,P190/(1+'General inputs'!$H$32)^IFERROR(INDEX('MP Calculations'!$C$40:$C$130,MATCH(F190,'MP Calculations'!$D$40:$D$130,0),0),-1))</f>
        <v>2782.2730652885862</v>
      </c>
    </row>
    <row r="191" spans="3:17">
      <c r="C191" s="159"/>
      <c r="D191" s="165" t="s">
        <v>288</v>
      </c>
      <c r="E191" s="161">
        <v>38537</v>
      </c>
      <c r="F191" s="172" t="str">
        <f t="shared" si="8"/>
        <v>2005-06</v>
      </c>
      <c r="G191" s="68"/>
      <c r="H191" s="167" t="s">
        <v>293</v>
      </c>
      <c r="I191" s="173">
        <v>20414.77563211487</v>
      </c>
      <c r="J191" s="168">
        <f>IFERROR(MIN('MP Calculations'!$E$30/I191,1),"-")</f>
        <v>0.40513348981719682</v>
      </c>
      <c r="K191" s="12"/>
      <c r="L191" s="159">
        <v>2.1295410000000001</v>
      </c>
      <c r="M191" s="159" t="s">
        <v>294</v>
      </c>
      <c r="N191" s="159">
        <v>726</v>
      </c>
      <c r="O191" s="185">
        <f t="shared" si="7"/>
        <v>1546.0467660000002</v>
      </c>
      <c r="P191" s="215">
        <f t="shared" si="9"/>
        <v>626.35532173017111</v>
      </c>
      <c r="Q191" s="215" cm="1">
        <f t="array" ref="Q191">IF(P191="-",0,P191/(1+'General inputs'!$H$32)^IFERROR(INDEX('MP Calculations'!$C$40:$C$130,MATCH(F191,'MP Calculations'!$D$40:$D$130,0),0),-1))</f>
        <v>1260.5845907984872</v>
      </c>
    </row>
    <row r="192" spans="3:17">
      <c r="C192" s="159"/>
      <c r="D192" s="165" t="s">
        <v>288</v>
      </c>
      <c r="E192" s="161">
        <v>38537</v>
      </c>
      <c r="F192" s="172" t="str">
        <f t="shared" si="8"/>
        <v>2005-06</v>
      </c>
      <c r="G192" s="68"/>
      <c r="H192" s="167" t="s">
        <v>293</v>
      </c>
      <c r="I192" s="173">
        <v>20414.77563211487</v>
      </c>
      <c r="J192" s="168">
        <f>IFERROR(MIN('MP Calculations'!$E$30/I192,1),"-")</f>
        <v>0.40513348981719682</v>
      </c>
      <c r="K192" s="12"/>
      <c r="L192" s="159">
        <v>191.17435900000001</v>
      </c>
      <c r="M192" s="159" t="s">
        <v>294</v>
      </c>
      <c r="N192" s="159">
        <v>726</v>
      </c>
      <c r="O192" s="185">
        <f t="shared" si="7"/>
        <v>138792.584634</v>
      </c>
      <c r="P192" s="215">
        <f t="shared" si="9"/>
        <v>56229.524173521066</v>
      </c>
      <c r="Q192" s="215" cm="1">
        <f t="array" ref="Q192">IF(P192="-",0,P192/(1+'General inputs'!$H$32)^IFERROR(INDEX('MP Calculations'!$C$40:$C$130,MATCH(F192,'MP Calculations'!$D$40:$D$130,0),0),-1))</f>
        <v>113165.91280054156</v>
      </c>
    </row>
    <row r="193" spans="3:17">
      <c r="C193" s="159"/>
      <c r="D193" s="165" t="s">
        <v>288</v>
      </c>
      <c r="E193" s="161">
        <v>38537</v>
      </c>
      <c r="F193" s="172" t="str">
        <f t="shared" si="8"/>
        <v>2005-06</v>
      </c>
      <c r="G193" s="68"/>
      <c r="H193" s="167" t="s">
        <v>293</v>
      </c>
      <c r="I193" s="173">
        <v>20414.77563211487</v>
      </c>
      <c r="J193" s="168">
        <f>IFERROR(MIN('MP Calculations'!$E$30/I193,1),"-")</f>
        <v>0.40513348981719682</v>
      </c>
      <c r="K193" s="12"/>
      <c r="L193" s="159">
        <v>161.729501</v>
      </c>
      <c r="M193" s="159" t="s">
        <v>294</v>
      </c>
      <c r="N193" s="159">
        <v>726</v>
      </c>
      <c r="O193" s="185">
        <f t="shared" ref="O193:O256" si="10">IF(N193="","-",L193*N193)</f>
        <v>117415.617726</v>
      </c>
      <c r="P193" s="215">
        <f t="shared" si="9"/>
        <v>47568.998968376298</v>
      </c>
      <c r="Q193" s="215" cm="1">
        <f t="array" ref="Q193">IF(P193="-",0,P193/(1+'General inputs'!$H$32)^IFERROR(INDEX('MP Calculations'!$C$40:$C$130,MATCH(F193,'MP Calculations'!$D$40:$D$130,0),0),-1))</f>
        <v>95735.990449645498</v>
      </c>
    </row>
    <row r="194" spans="3:17">
      <c r="C194" s="159"/>
      <c r="D194" s="165" t="s">
        <v>288</v>
      </c>
      <c r="E194" s="161">
        <v>38537</v>
      </c>
      <c r="F194" s="172" t="str">
        <f t="shared" si="8"/>
        <v>2005-06</v>
      </c>
      <c r="G194" s="68"/>
      <c r="H194" s="167" t="s">
        <v>293</v>
      </c>
      <c r="I194" s="173">
        <v>20414.77563211487</v>
      </c>
      <c r="J194" s="168">
        <f>IFERROR(MIN('MP Calculations'!$E$30/I194,1),"-")</f>
        <v>0.40513348981719682</v>
      </c>
      <c r="K194" s="12"/>
      <c r="L194" s="159">
        <v>2.0466190000000002</v>
      </c>
      <c r="M194" s="159" t="s">
        <v>294</v>
      </c>
      <c r="N194" s="159">
        <v>726</v>
      </c>
      <c r="O194" s="185">
        <f t="shared" si="10"/>
        <v>1485.8453940000002</v>
      </c>
      <c r="P194" s="215">
        <f t="shared" si="9"/>
        <v>601.96572980002782</v>
      </c>
      <c r="Q194" s="215" cm="1">
        <f t="array" ref="Q194">IF(P194="-",0,P194/(1+'General inputs'!$H$32)^IFERROR(INDEX('MP Calculations'!$C$40:$C$130,MATCH(F194,'MP Calculations'!$D$40:$D$130,0),0),-1))</f>
        <v>1211.4988040312016</v>
      </c>
    </row>
    <row r="195" spans="3:17">
      <c r="C195" s="159"/>
      <c r="D195" s="165" t="s">
        <v>288</v>
      </c>
      <c r="E195" s="161">
        <v>38537</v>
      </c>
      <c r="F195" s="172" t="str">
        <f t="shared" si="8"/>
        <v>2005-06</v>
      </c>
      <c r="G195" s="68"/>
      <c r="H195" s="167" t="s">
        <v>293</v>
      </c>
      <c r="I195" s="173">
        <v>20414.77563211487</v>
      </c>
      <c r="J195" s="168">
        <f>IFERROR(MIN('MP Calculations'!$E$30/I195,1),"-")</f>
        <v>0.40513348981719682</v>
      </c>
      <c r="K195" s="12"/>
      <c r="L195" s="159">
        <v>0.60107900000000003</v>
      </c>
      <c r="M195" s="159" t="s">
        <v>294</v>
      </c>
      <c r="N195" s="159">
        <v>726</v>
      </c>
      <c r="O195" s="185">
        <f t="shared" si="10"/>
        <v>436.383354</v>
      </c>
      <c r="P195" s="215">
        <f t="shared" si="9"/>
        <v>176.7935111041532</v>
      </c>
      <c r="Q195" s="215" cm="1">
        <f t="array" ref="Q195">IF(P195="-",0,P195/(1+'General inputs'!$H$32)^IFERROR(INDEX('MP Calculations'!$C$40:$C$130,MATCH(F195,'MP Calculations'!$D$40:$D$130,0),0),-1))</f>
        <v>355.80950319931094</v>
      </c>
    </row>
    <row r="196" spans="3:17">
      <c r="C196" s="159"/>
      <c r="D196" s="165" t="s">
        <v>288</v>
      </c>
      <c r="E196" s="161">
        <v>38537</v>
      </c>
      <c r="F196" s="172" t="str">
        <f t="shared" si="8"/>
        <v>2005-06</v>
      </c>
      <c r="G196" s="68"/>
      <c r="H196" s="167" t="s">
        <v>293</v>
      </c>
      <c r="I196" s="173">
        <v>20414.77563211487</v>
      </c>
      <c r="J196" s="168">
        <f>IFERROR(MIN('MP Calculations'!$E$30/I196,1),"-")</f>
        <v>0.40513348981719682</v>
      </c>
      <c r="K196" s="12"/>
      <c r="L196" s="159">
        <v>56.207726999999998</v>
      </c>
      <c r="M196" s="159" t="s">
        <v>294</v>
      </c>
      <c r="N196" s="159">
        <v>726</v>
      </c>
      <c r="O196" s="185">
        <f t="shared" si="10"/>
        <v>40806.809801999996</v>
      </c>
      <c r="P196" s="215">
        <f t="shared" si="9"/>
        <v>16532.205263390853</v>
      </c>
      <c r="Q196" s="215" cm="1">
        <f t="array" ref="Q196">IF(P196="-",0,P196/(1+'General inputs'!$H$32)^IFERROR(INDEX('MP Calculations'!$C$40:$C$130,MATCH(F196,'MP Calculations'!$D$40:$D$130,0),0),-1))</f>
        <v>33272.237792091379</v>
      </c>
    </row>
    <row r="197" spans="3:17">
      <c r="C197" s="159"/>
      <c r="D197" s="165" t="s">
        <v>288</v>
      </c>
      <c r="E197" s="161">
        <v>38537</v>
      </c>
      <c r="F197" s="172" t="str">
        <f t="shared" si="8"/>
        <v>2005-06</v>
      </c>
      <c r="G197" s="68"/>
      <c r="H197" s="167" t="s">
        <v>293</v>
      </c>
      <c r="I197" s="173">
        <v>20414.77563211487</v>
      </c>
      <c r="J197" s="168">
        <f>IFERROR(MIN('MP Calculations'!$E$30/I197,1),"-")</f>
        <v>0.40513348981719682</v>
      </c>
      <c r="K197" s="12"/>
      <c r="L197" s="159">
        <v>9.3067220000000006</v>
      </c>
      <c r="M197" s="159" t="s">
        <v>294</v>
      </c>
      <c r="N197" s="159">
        <v>726</v>
      </c>
      <c r="O197" s="185">
        <f t="shared" si="10"/>
        <v>6756.6801720000003</v>
      </c>
      <c r="P197" s="215">
        <f t="shared" si="9"/>
        <v>2737.3574176610177</v>
      </c>
      <c r="Q197" s="215" cm="1">
        <f t="array" ref="Q197">IF(P197="-",0,P197/(1+'General inputs'!$H$32)^IFERROR(INDEX('MP Calculations'!$C$40:$C$130,MATCH(F197,'MP Calculations'!$D$40:$D$130,0),0),-1))</f>
        <v>5509.1263065821595</v>
      </c>
    </row>
    <row r="198" spans="3:17">
      <c r="C198" s="159"/>
      <c r="D198" s="165" t="s">
        <v>288</v>
      </c>
      <c r="E198" s="161">
        <v>38537</v>
      </c>
      <c r="F198" s="172" t="str">
        <f t="shared" si="8"/>
        <v>2005-06</v>
      </c>
      <c r="G198" s="68"/>
      <c r="H198" s="167" t="s">
        <v>293</v>
      </c>
      <c r="I198" s="173">
        <v>20414.77563211487</v>
      </c>
      <c r="J198" s="168">
        <f>IFERROR(MIN('MP Calculations'!$E$30/I198,1),"-")</f>
        <v>0.40513348981719682</v>
      </c>
      <c r="K198" s="12"/>
      <c r="L198" s="159">
        <v>114.287695</v>
      </c>
      <c r="M198" s="159" t="s">
        <v>294</v>
      </c>
      <c r="N198" s="159">
        <v>726</v>
      </c>
      <c r="O198" s="185">
        <f t="shared" si="10"/>
        <v>82972.866569999998</v>
      </c>
      <c r="P198" s="215">
        <f t="shared" si="9"/>
        <v>33615.086993640725</v>
      </c>
      <c r="Q198" s="215" cm="1">
        <f t="array" ref="Q198">IF(P198="-",0,P198/(1+'General inputs'!$H$32)^IFERROR(INDEX('MP Calculations'!$C$40:$C$130,MATCH(F198,'MP Calculations'!$D$40:$D$130,0),0),-1))</f>
        <v>67652.751102175214</v>
      </c>
    </row>
    <row r="199" spans="3:17">
      <c r="C199" s="159"/>
      <c r="D199" s="165" t="s">
        <v>288</v>
      </c>
      <c r="E199" s="161">
        <v>38537</v>
      </c>
      <c r="F199" s="172" t="str">
        <f t="shared" si="8"/>
        <v>2005-06</v>
      </c>
      <c r="G199" s="68"/>
      <c r="H199" s="167" t="s">
        <v>293</v>
      </c>
      <c r="I199" s="173">
        <v>20414.77563211487</v>
      </c>
      <c r="J199" s="168">
        <f>IFERROR(MIN('MP Calculations'!$E$30/I199,1),"-")</f>
        <v>0.40513348981719682</v>
      </c>
      <c r="K199" s="12"/>
      <c r="L199" s="159">
        <v>9.9998819999999995</v>
      </c>
      <c r="M199" s="159" t="s">
        <v>294</v>
      </c>
      <c r="N199" s="159">
        <v>726</v>
      </c>
      <c r="O199" s="185">
        <f t="shared" si="10"/>
        <v>7259.9143319999994</v>
      </c>
      <c r="P199" s="215">
        <f t="shared" si="9"/>
        <v>2941.2344290970432</v>
      </c>
      <c r="Q199" s="215" cm="1">
        <f t="array" ref="Q199">IF(P199="-",0,P199/(1+'General inputs'!$H$32)^IFERROR(INDEX('MP Calculations'!$C$40:$C$130,MATCH(F199,'MP Calculations'!$D$40:$D$130,0),0),-1))</f>
        <v>5919.4432786234947</v>
      </c>
    </row>
    <row r="200" spans="3:17">
      <c r="C200" s="159"/>
      <c r="D200" s="165" t="s">
        <v>288</v>
      </c>
      <c r="E200" s="161">
        <v>38537</v>
      </c>
      <c r="F200" s="172" t="str">
        <f t="shared" si="8"/>
        <v>2005-06</v>
      </c>
      <c r="G200" s="68"/>
      <c r="H200" s="167" t="s">
        <v>293</v>
      </c>
      <c r="I200" s="173">
        <v>20414.77563211487</v>
      </c>
      <c r="J200" s="168">
        <f>IFERROR(MIN('MP Calculations'!$E$30/I200,1),"-")</f>
        <v>0.40513348981719682</v>
      </c>
      <c r="K200" s="12"/>
      <c r="L200" s="159">
        <v>0.63110200000000005</v>
      </c>
      <c r="M200" s="159" t="s">
        <v>294</v>
      </c>
      <c r="N200" s="159">
        <v>726</v>
      </c>
      <c r="O200" s="185">
        <f t="shared" si="10"/>
        <v>458.18005200000005</v>
      </c>
      <c r="P200" s="215">
        <f t="shared" si="9"/>
        <v>185.62408343138472</v>
      </c>
      <c r="Q200" s="215" cm="1">
        <f t="array" ref="Q200">IF(P200="-",0,P200/(1+'General inputs'!$H$32)^IFERROR(INDEX('MP Calculations'!$C$40:$C$130,MATCH(F200,'MP Calculations'!$D$40:$D$130,0),0),-1))</f>
        <v>373.58165746614264</v>
      </c>
    </row>
    <row r="201" spans="3:17">
      <c r="C201" s="159"/>
      <c r="D201" s="165" t="s">
        <v>288</v>
      </c>
      <c r="E201" s="161">
        <v>38537</v>
      </c>
      <c r="F201" s="172" t="str">
        <f t="shared" si="8"/>
        <v>2005-06</v>
      </c>
      <c r="G201" s="68"/>
      <c r="H201" s="167" t="s">
        <v>293</v>
      </c>
      <c r="I201" s="173">
        <v>20414.77563211487</v>
      </c>
      <c r="J201" s="168">
        <f>IFERROR(MIN('MP Calculations'!$E$30/I201,1),"-")</f>
        <v>0.40513348981719682</v>
      </c>
      <c r="K201" s="12"/>
      <c r="L201" s="159">
        <v>13.497643</v>
      </c>
      <c r="M201" s="159" t="s">
        <v>294</v>
      </c>
      <c r="N201" s="159">
        <v>726</v>
      </c>
      <c r="O201" s="185">
        <f t="shared" si="10"/>
        <v>9799.2888180000009</v>
      </c>
      <c r="P201" s="215">
        <f t="shared" si="9"/>
        <v>3970.0200765629743</v>
      </c>
      <c r="Q201" s="215" cm="1">
        <f t="array" ref="Q201">IF(P201="-",0,P201/(1+'General inputs'!$H$32)^IFERROR(INDEX('MP Calculations'!$C$40:$C$130,MATCH(F201,'MP Calculations'!$D$40:$D$130,0),0),-1))</f>
        <v>7989.9474947413864</v>
      </c>
    </row>
    <row r="202" spans="3:17">
      <c r="C202" s="159"/>
      <c r="D202" s="165" t="s">
        <v>299</v>
      </c>
      <c r="E202" s="161">
        <v>38537</v>
      </c>
      <c r="F202" s="172" t="str">
        <f t="shared" si="8"/>
        <v>2005-06</v>
      </c>
      <c r="G202" s="68"/>
      <c r="H202" s="167" t="s">
        <v>293</v>
      </c>
      <c r="I202" s="173">
        <v>20414.77563211487</v>
      </c>
      <c r="J202" s="168">
        <f>IFERROR(MIN('MP Calculations'!$E$30/I202,1),"-")</f>
        <v>0.40513348981719682</v>
      </c>
      <c r="K202" s="12"/>
      <c r="L202" s="159">
        <v>0.30004199999999998</v>
      </c>
      <c r="M202" s="159" t="s">
        <v>294</v>
      </c>
      <c r="N202" s="159">
        <v>1630</v>
      </c>
      <c r="O202" s="185">
        <f t="shared" si="10"/>
        <v>489.06845999999996</v>
      </c>
      <c r="P202" s="215">
        <f t="shared" si="9"/>
        <v>198.13801195932211</v>
      </c>
      <c r="Q202" s="215" cm="1">
        <f t="array" ref="Q202">IF(P202="-",0,P202/(1+'General inputs'!$H$32)^IFERROR(INDEX('MP Calculations'!$C$40:$C$130,MATCH(F202,'MP Calculations'!$D$40:$D$130,0),0),-1))</f>
        <v>398.76682780858789</v>
      </c>
    </row>
    <row r="203" spans="3:17">
      <c r="C203" s="159"/>
      <c r="D203" s="165" t="s">
        <v>281</v>
      </c>
      <c r="E203" s="161">
        <v>38687</v>
      </c>
      <c r="F203" s="172" t="str">
        <f t="shared" si="8"/>
        <v>2005-06</v>
      </c>
      <c r="G203" s="68"/>
      <c r="H203" s="167" t="s">
        <v>293</v>
      </c>
      <c r="I203" s="173">
        <v>20414.77563211487</v>
      </c>
      <c r="J203" s="168">
        <f>IFERROR(MIN('MP Calculations'!$E$30/I203,1),"-")</f>
        <v>0.40513348981719682</v>
      </c>
      <c r="K203" s="12"/>
      <c r="L203" s="159">
        <v>61.506802</v>
      </c>
      <c r="M203" s="159" t="s">
        <v>294</v>
      </c>
      <c r="N203" s="159">
        <v>350</v>
      </c>
      <c r="O203" s="185">
        <f t="shared" si="10"/>
        <v>21527.380700000002</v>
      </c>
      <c r="P203" s="215">
        <f t="shared" si="9"/>
        <v>8721.46286961437</v>
      </c>
      <c r="Q203" s="215" cm="1">
        <f t="array" ref="Q203">IF(P203="-",0,P203/(1+'General inputs'!$H$32)^IFERROR(INDEX('MP Calculations'!$C$40:$C$130,MATCH(F203,'MP Calculations'!$D$40:$D$130,0),0),-1))</f>
        <v>17552.563730580419</v>
      </c>
    </row>
    <row r="204" spans="3:17">
      <c r="C204" s="159"/>
      <c r="D204" s="165" t="s">
        <v>281</v>
      </c>
      <c r="E204" s="161">
        <v>38811</v>
      </c>
      <c r="F204" s="172" t="str">
        <f t="shared" si="8"/>
        <v>2005-06</v>
      </c>
      <c r="G204" s="68"/>
      <c r="H204" s="167" t="s">
        <v>293</v>
      </c>
      <c r="I204" s="173">
        <v>20414.77563211487</v>
      </c>
      <c r="J204" s="168">
        <f>IFERROR(MIN('MP Calculations'!$E$30/I204,1),"-")</f>
        <v>0.40513348981719682</v>
      </c>
      <c r="K204" s="12"/>
      <c r="L204" s="159">
        <v>56.319882</v>
      </c>
      <c r="M204" s="159" t="s">
        <v>294</v>
      </c>
      <c r="N204" s="159">
        <v>350</v>
      </c>
      <c r="O204" s="185">
        <f t="shared" si="10"/>
        <v>19711.958699999999</v>
      </c>
      <c r="P204" s="215">
        <f t="shared" si="9"/>
        <v>7985.9746192634539</v>
      </c>
      <c r="Q204" s="215" cm="1">
        <f t="array" ref="Q204">IF(P204="-",0,P204/(1+'General inputs'!$H$32)^IFERROR(INDEX('MP Calculations'!$C$40:$C$130,MATCH(F204,'MP Calculations'!$D$40:$D$130,0),0),-1))</f>
        <v>16072.341366468198</v>
      </c>
    </row>
    <row r="205" spans="3:17">
      <c r="C205" s="159"/>
      <c r="D205" s="165" t="s">
        <v>281</v>
      </c>
      <c r="E205" s="161">
        <v>38811</v>
      </c>
      <c r="F205" s="172" t="str">
        <f t="shared" si="8"/>
        <v>2005-06</v>
      </c>
      <c r="G205" s="68"/>
      <c r="H205" s="167" t="s">
        <v>293</v>
      </c>
      <c r="I205" s="173">
        <v>20414.77563211487</v>
      </c>
      <c r="J205" s="168">
        <f>IFERROR(MIN('MP Calculations'!$E$30/I205,1),"-")</f>
        <v>0.40513348981719682</v>
      </c>
      <c r="K205" s="12"/>
      <c r="L205" s="159">
        <v>2.8800910000000002</v>
      </c>
      <c r="M205" s="159" t="s">
        <v>294</v>
      </c>
      <c r="N205" s="159">
        <v>350</v>
      </c>
      <c r="O205" s="185">
        <f t="shared" si="10"/>
        <v>1008.0318500000001</v>
      </c>
      <c r="P205" s="215">
        <f t="shared" si="9"/>
        <v>408.38746123738508</v>
      </c>
      <c r="Q205" s="215" cm="1">
        <f t="array" ref="Q205">IF(P205="-",0,P205/(1+'General inputs'!$H$32)^IFERROR(INDEX('MP Calculations'!$C$40:$C$130,MATCH(F205,'MP Calculations'!$D$40:$D$130,0),0),-1))</f>
        <v>821.90878380201082</v>
      </c>
    </row>
    <row r="206" spans="3:17">
      <c r="C206" s="159"/>
      <c r="D206" s="165" t="s">
        <v>281</v>
      </c>
      <c r="E206" s="161">
        <v>38826</v>
      </c>
      <c r="F206" s="172" t="str">
        <f t="shared" si="8"/>
        <v>2005-06</v>
      </c>
      <c r="G206" s="68"/>
      <c r="H206" s="167" t="s">
        <v>293</v>
      </c>
      <c r="I206" s="173">
        <v>20414.77563211487</v>
      </c>
      <c r="J206" s="168">
        <f>IFERROR(MIN('MP Calculations'!$E$30/I206,1),"-")</f>
        <v>0.40513348981719682</v>
      </c>
      <c r="K206" s="12"/>
      <c r="L206" s="159">
        <v>0.45144299999999998</v>
      </c>
      <c r="M206" s="159" t="s">
        <v>294</v>
      </c>
      <c r="N206" s="159">
        <v>350</v>
      </c>
      <c r="O206" s="185">
        <f t="shared" si="10"/>
        <v>158.00504999999998</v>
      </c>
      <c r="P206" s="215">
        <f t="shared" si="9"/>
        <v>64.01313731524067</v>
      </c>
      <c r="Q206" s="215" cm="1">
        <f t="array" ref="Q206">IF(P206="-",0,P206/(1+'General inputs'!$H$32)^IFERROR(INDEX('MP Calculations'!$C$40:$C$130,MATCH(F206,'MP Calculations'!$D$40:$D$130,0),0),-1))</f>
        <v>128.83098731461303</v>
      </c>
    </row>
    <row r="207" spans="3:17">
      <c r="C207" s="159"/>
      <c r="D207" s="165" t="s">
        <v>281</v>
      </c>
      <c r="E207" s="161">
        <v>38826</v>
      </c>
      <c r="F207" s="172" t="str">
        <f t="shared" si="8"/>
        <v>2005-06</v>
      </c>
      <c r="G207" s="68"/>
      <c r="H207" s="167" t="s">
        <v>293</v>
      </c>
      <c r="I207" s="173">
        <v>20414.77563211487</v>
      </c>
      <c r="J207" s="168">
        <f>IFERROR(MIN('MP Calculations'!$E$30/I207,1),"-")</f>
        <v>0.40513348981719682</v>
      </c>
      <c r="K207" s="12"/>
      <c r="L207" s="159">
        <v>80.982076000000006</v>
      </c>
      <c r="M207" s="159" t="s">
        <v>294</v>
      </c>
      <c r="N207" s="159">
        <v>350</v>
      </c>
      <c r="O207" s="185">
        <f t="shared" si="10"/>
        <v>28343.726600000002</v>
      </c>
      <c r="P207" s="215">
        <f t="shared" si="9"/>
        <v>11482.992871882512</v>
      </c>
      <c r="Q207" s="215" cm="1">
        <f t="array" ref="Q207">IF(P207="-",0,P207/(1+'General inputs'!$H$32)^IFERROR(INDEX('MP Calculations'!$C$40:$C$130,MATCH(F207,'MP Calculations'!$D$40:$D$130,0),0),-1))</f>
        <v>23110.339081272785</v>
      </c>
    </row>
    <row r="208" spans="3:17">
      <c r="C208" s="159"/>
      <c r="D208" s="165" t="s">
        <v>281</v>
      </c>
      <c r="E208" s="161">
        <v>38826</v>
      </c>
      <c r="F208" s="172" t="str">
        <f t="shared" si="8"/>
        <v>2005-06</v>
      </c>
      <c r="G208" s="68"/>
      <c r="H208" s="167" t="s">
        <v>293</v>
      </c>
      <c r="I208" s="173">
        <v>20414.77563211487</v>
      </c>
      <c r="J208" s="168">
        <f>IFERROR(MIN('MP Calculations'!$E$30/I208,1),"-")</f>
        <v>0.40513348981719682</v>
      </c>
      <c r="K208" s="12"/>
      <c r="L208" s="159">
        <v>6.6684109999999999</v>
      </c>
      <c r="M208" s="159" t="s">
        <v>294</v>
      </c>
      <c r="N208" s="159">
        <v>350</v>
      </c>
      <c r="O208" s="185">
        <f t="shared" si="10"/>
        <v>2333.9438500000001</v>
      </c>
      <c r="P208" s="215">
        <f t="shared" si="9"/>
        <v>945.55881698788414</v>
      </c>
      <c r="Q208" s="215" cm="1">
        <f t="array" ref="Q208">IF(P208="-",0,P208/(1+'General inputs'!$H$32)^IFERROR(INDEX('MP Calculations'!$C$40:$C$130,MATCH(F208,'MP Calculations'!$D$40:$D$130,0),0),-1))</f>
        <v>1903.0043060798948</v>
      </c>
    </row>
    <row r="209" spans="3:17">
      <c r="C209" s="159"/>
      <c r="D209" s="165" t="s">
        <v>281</v>
      </c>
      <c r="E209" s="161">
        <v>38826</v>
      </c>
      <c r="F209" s="172" t="str">
        <f t="shared" si="8"/>
        <v>2005-06</v>
      </c>
      <c r="G209" s="68"/>
      <c r="H209" s="167" t="s">
        <v>293</v>
      </c>
      <c r="I209" s="173">
        <v>20414.77563211487</v>
      </c>
      <c r="J209" s="168">
        <f>IFERROR(MIN('MP Calculations'!$E$30/I209,1),"-")</f>
        <v>0.40513348981719682</v>
      </c>
      <c r="K209" s="12"/>
      <c r="L209" s="159">
        <v>0.69587299999999996</v>
      </c>
      <c r="M209" s="159" t="s">
        <v>294</v>
      </c>
      <c r="N209" s="159">
        <v>350</v>
      </c>
      <c r="O209" s="185">
        <f t="shared" si="10"/>
        <v>243.55554999999998</v>
      </c>
      <c r="P209" s="215">
        <f t="shared" si="9"/>
        <v>98.672509935846762</v>
      </c>
      <c r="Q209" s="215" cm="1">
        <f t="array" ref="Q209">IF(P209="-",0,P209/(1+'General inputs'!$H$32)^IFERROR(INDEX('MP Calculations'!$C$40:$C$130,MATCH(F209,'MP Calculations'!$D$40:$D$130,0),0),-1))</f>
        <v>198.58543744300323</v>
      </c>
    </row>
    <row r="210" spans="3:17">
      <c r="C210" s="159"/>
      <c r="D210" s="165" t="s">
        <v>281</v>
      </c>
      <c r="E210" s="161">
        <v>38826</v>
      </c>
      <c r="F210" s="172" t="str">
        <f t="shared" si="8"/>
        <v>2005-06</v>
      </c>
      <c r="G210" s="68"/>
      <c r="H210" s="167" t="s">
        <v>293</v>
      </c>
      <c r="I210" s="173">
        <v>20414.77563211487</v>
      </c>
      <c r="J210" s="168">
        <f>IFERROR(MIN('MP Calculations'!$E$30/I210,1),"-")</f>
        <v>0.40513348981719682</v>
      </c>
      <c r="K210" s="12"/>
      <c r="L210" s="159">
        <v>135.361874</v>
      </c>
      <c r="M210" s="159" t="s">
        <v>294</v>
      </c>
      <c r="N210" s="159">
        <v>350</v>
      </c>
      <c r="O210" s="185">
        <f t="shared" si="10"/>
        <v>47376.655899999998</v>
      </c>
      <c r="P210" s="215">
        <f t="shared" si="9"/>
        <v>19193.869940635486</v>
      </c>
      <c r="Q210" s="215" cm="1">
        <f t="array" ref="Q210">IF(P210="-",0,P210/(1+'General inputs'!$H$32)^IFERROR(INDEX('MP Calculations'!$C$40:$C$130,MATCH(F210,'MP Calculations'!$D$40:$D$130,0),0),-1))</f>
        <v>38629.02708022108</v>
      </c>
    </row>
    <row r="211" spans="3:17">
      <c r="C211" s="159"/>
      <c r="D211" s="165" t="s">
        <v>282</v>
      </c>
      <c r="E211" s="161">
        <v>38848</v>
      </c>
      <c r="F211" s="172" t="str">
        <f t="shared" si="8"/>
        <v>2005-06</v>
      </c>
      <c r="G211" s="68"/>
      <c r="H211" s="167" t="s">
        <v>293</v>
      </c>
      <c r="I211" s="173">
        <v>20414.77563211487</v>
      </c>
      <c r="J211" s="168">
        <f>IFERROR(MIN('MP Calculations'!$E$30/I211,1),"-")</f>
        <v>0.40513348981719682</v>
      </c>
      <c r="K211" s="12"/>
      <c r="L211" s="159">
        <v>22.271913999999999</v>
      </c>
      <c r="M211" s="159" t="s">
        <v>294</v>
      </c>
      <c r="N211" s="159">
        <v>511</v>
      </c>
      <c r="O211" s="185">
        <f t="shared" si="10"/>
        <v>11380.948053999999</v>
      </c>
      <c r="P211" s="215">
        <f t="shared" si="9"/>
        <v>4610.8032025452549</v>
      </c>
      <c r="Q211" s="215" cm="1">
        <f t="array" ref="Q211">IF(P211="-",0,P211/(1+'General inputs'!$H$32)^IFERROR(INDEX('MP Calculations'!$C$40:$C$130,MATCH(F211,'MP Calculations'!$D$40:$D$130,0),0),-1))</f>
        <v>9279.5690667680792</v>
      </c>
    </row>
    <row r="212" spans="3:17">
      <c r="C212" s="159"/>
      <c r="D212" s="165" t="s">
        <v>282</v>
      </c>
      <c r="E212" s="161">
        <v>38848</v>
      </c>
      <c r="F212" s="172" t="str">
        <f t="shared" si="8"/>
        <v>2005-06</v>
      </c>
      <c r="G212" s="68"/>
      <c r="H212" s="167" t="s">
        <v>293</v>
      </c>
      <c r="I212" s="173">
        <v>20414.77563211487</v>
      </c>
      <c r="J212" s="168">
        <f>IFERROR(MIN('MP Calculations'!$E$30/I212,1),"-")</f>
        <v>0.40513348981719682</v>
      </c>
      <c r="K212" s="12"/>
      <c r="L212" s="159">
        <v>0.266017</v>
      </c>
      <c r="M212" s="159" t="s">
        <v>294</v>
      </c>
      <c r="N212" s="159">
        <v>511</v>
      </c>
      <c r="O212" s="185">
        <f t="shared" si="10"/>
        <v>135.934687</v>
      </c>
      <c r="P212" s="215">
        <f t="shared" si="9"/>
        <v>55.071694131518335</v>
      </c>
      <c r="Q212" s="215" cm="1">
        <f t="array" ref="Q212">IF(P212="-",0,P212/(1+'General inputs'!$H$32)^IFERROR(INDEX('MP Calculations'!$C$40:$C$130,MATCH(F212,'MP Calculations'!$D$40:$D$130,0),0),-1))</f>
        <v>110.83569757114023</v>
      </c>
    </row>
    <row r="213" spans="3:17">
      <c r="C213" s="159"/>
      <c r="D213" s="165" t="s">
        <v>282</v>
      </c>
      <c r="E213" s="161">
        <v>38848</v>
      </c>
      <c r="F213" s="172" t="str">
        <f t="shared" si="8"/>
        <v>2005-06</v>
      </c>
      <c r="G213" s="68"/>
      <c r="H213" s="167" t="s">
        <v>293</v>
      </c>
      <c r="I213" s="173">
        <v>20414.77563211487</v>
      </c>
      <c r="J213" s="168">
        <f>IFERROR(MIN('MP Calculations'!$E$30/I213,1),"-")</f>
        <v>0.40513348981719682</v>
      </c>
      <c r="K213" s="12"/>
      <c r="L213" s="159">
        <v>2.371842</v>
      </c>
      <c r="M213" s="159" t="s">
        <v>294</v>
      </c>
      <c r="N213" s="159">
        <v>511</v>
      </c>
      <c r="O213" s="185">
        <f t="shared" si="10"/>
        <v>1212.011262</v>
      </c>
      <c r="P213" s="215">
        <f t="shared" si="9"/>
        <v>491.02635227180485</v>
      </c>
      <c r="Q213" s="215" cm="1">
        <f t="array" ref="Q213">IF(P213="-",0,P213/(1+'General inputs'!$H$32)^IFERROR(INDEX('MP Calculations'!$C$40:$C$130,MATCH(F213,'MP Calculations'!$D$40:$D$130,0),0),-1))</f>
        <v>988.22542393353956</v>
      </c>
    </row>
    <row r="214" spans="3:17">
      <c r="C214" s="159"/>
      <c r="D214" s="165" t="s">
        <v>282</v>
      </c>
      <c r="E214" s="161">
        <v>38848</v>
      </c>
      <c r="F214" s="172" t="str">
        <f t="shared" ref="F214:F277" si="11">IF(E214="","-",IF(OR(E214&lt;$E$15,E214&gt;$E$16),"ERROR - date outside of range",IF(MONTH(E214)&gt;=7,YEAR(E214)&amp;"-"&amp;IF(YEAR(E214)=1999,"00",IF(AND(YEAR(E214)&gt;=2000,YEAR(E214)&lt;2009),"0","")&amp;RIGHT(YEAR(E214),2)+1),RIGHT(YEAR(E214),4)-1&amp;"-"&amp;RIGHT(YEAR(E214),2))))</f>
        <v>2005-06</v>
      </c>
      <c r="G214" s="68"/>
      <c r="H214" s="167" t="s">
        <v>293</v>
      </c>
      <c r="I214" s="173">
        <v>20414.77563211487</v>
      </c>
      <c r="J214" s="168">
        <f>IFERROR(MIN('MP Calculations'!$E$30/I214,1),"-")</f>
        <v>0.40513348981719682</v>
      </c>
      <c r="K214" s="12"/>
      <c r="L214" s="159">
        <v>0.44503500000000001</v>
      </c>
      <c r="M214" s="159" t="s">
        <v>294</v>
      </c>
      <c r="N214" s="159">
        <v>511</v>
      </c>
      <c r="O214" s="185">
        <f t="shared" si="10"/>
        <v>227.41288500000002</v>
      </c>
      <c r="P214" s="215">
        <f t="shared" si="9"/>
        <v>92.132575729446856</v>
      </c>
      <c r="Q214" s="215" cm="1">
        <f t="array" ref="Q214">IF(P214="-",0,P214/(1+'General inputs'!$H$32)^IFERROR(INDEX('MP Calculations'!$C$40:$C$130,MATCH(F214,'MP Calculations'!$D$40:$D$130,0),0),-1))</f>
        <v>185.42335515614565</v>
      </c>
    </row>
    <row r="215" spans="3:17">
      <c r="C215" s="159"/>
      <c r="D215" s="165" t="s">
        <v>282</v>
      </c>
      <c r="E215" s="161">
        <v>38848</v>
      </c>
      <c r="F215" s="172" t="str">
        <f t="shared" si="11"/>
        <v>2005-06</v>
      </c>
      <c r="G215" s="68"/>
      <c r="H215" s="167" t="s">
        <v>293</v>
      </c>
      <c r="I215" s="173">
        <v>20414.77563211487</v>
      </c>
      <c r="J215" s="168">
        <f>IFERROR(MIN('MP Calculations'!$E$30/I215,1),"-")</f>
        <v>0.40513348981719682</v>
      </c>
      <c r="K215" s="12"/>
      <c r="L215" s="159">
        <v>0.39893800000000001</v>
      </c>
      <c r="M215" s="159" t="s">
        <v>294</v>
      </c>
      <c r="N215" s="159">
        <v>511</v>
      </c>
      <c r="O215" s="185">
        <f t="shared" si="10"/>
        <v>203.85731800000002</v>
      </c>
      <c r="P215" s="215">
        <f t="shared" ref="P215:P278" si="12">IF(O215="-","-",IF(OR(E215&lt;$E$15,E215&gt;$E$16),0,O215*J215))</f>
        <v>82.589426666114065</v>
      </c>
      <c r="Q215" s="215" cm="1">
        <f t="array" ref="Q215">IF(P215="-",0,P215/(1+'General inputs'!$H$32)^IFERROR(INDEX('MP Calculations'!$C$40:$C$130,MATCH(F215,'MP Calculations'!$D$40:$D$130,0),0),-1))</f>
        <v>166.21708957561191</v>
      </c>
    </row>
    <row r="216" spans="3:17">
      <c r="C216" s="159"/>
      <c r="D216" s="165" t="s">
        <v>282</v>
      </c>
      <c r="E216" s="161">
        <v>38860</v>
      </c>
      <c r="F216" s="172" t="str">
        <f t="shared" si="11"/>
        <v>2005-06</v>
      </c>
      <c r="G216" s="68"/>
      <c r="H216" s="167" t="s">
        <v>293</v>
      </c>
      <c r="I216" s="173">
        <v>20414.77563211487</v>
      </c>
      <c r="J216" s="168">
        <f>IFERROR(MIN('MP Calculations'!$E$30/I216,1),"-")</f>
        <v>0.40513348981719682</v>
      </c>
      <c r="K216" s="12"/>
      <c r="L216" s="159">
        <v>32.142116999999999</v>
      </c>
      <c r="M216" s="159" t="s">
        <v>294</v>
      </c>
      <c r="N216" s="159">
        <v>511</v>
      </c>
      <c r="O216" s="185">
        <f t="shared" si="10"/>
        <v>16424.621787</v>
      </c>
      <c r="P216" s="215">
        <f t="shared" si="12"/>
        <v>6654.1643434948737</v>
      </c>
      <c r="Q216" s="215" cm="1">
        <f t="array" ref="Q216">IF(P216="-",0,P216/(1+'General inputs'!$H$32)^IFERROR(INDEX('MP Calculations'!$C$40:$C$130,MATCH(F216,'MP Calculations'!$D$40:$D$130,0),0),-1))</f>
        <v>13391.97855440895</v>
      </c>
    </row>
    <row r="217" spans="3:17">
      <c r="C217" s="159"/>
      <c r="D217" s="165" t="s">
        <v>300</v>
      </c>
      <c r="E217" s="161">
        <v>38883</v>
      </c>
      <c r="F217" s="172" t="str">
        <f t="shared" si="11"/>
        <v>2005-06</v>
      </c>
      <c r="G217" s="68"/>
      <c r="H217" s="167" t="s">
        <v>293</v>
      </c>
      <c r="I217" s="173">
        <v>20414.77563211487</v>
      </c>
      <c r="J217" s="168">
        <f>IFERROR(MIN('MP Calculations'!$E$30/I217,1),"-")</f>
        <v>0.40513348981719682</v>
      </c>
      <c r="K217" s="12"/>
      <c r="L217" s="159">
        <v>1</v>
      </c>
      <c r="M217" s="159" t="s">
        <v>295</v>
      </c>
      <c r="N217" s="159">
        <v>1477.92</v>
      </c>
      <c r="O217" s="185">
        <f t="shared" si="10"/>
        <v>1477.92</v>
      </c>
      <c r="P217" s="215">
        <f t="shared" si="12"/>
        <v>598.75488727063157</v>
      </c>
      <c r="Q217" s="215" cm="1">
        <f t="array" ref="Q217">IF(P217="-",0,P217/(1+'General inputs'!$H$32)^IFERROR(INDEX('MP Calculations'!$C$40:$C$130,MATCH(F217,'MP Calculations'!$D$40:$D$130,0),0),-1))</f>
        <v>1205.0367552936625</v>
      </c>
    </row>
    <row r="218" spans="3:17">
      <c r="C218" s="159"/>
      <c r="D218" s="165" t="s">
        <v>301</v>
      </c>
      <c r="E218" s="161">
        <v>38898</v>
      </c>
      <c r="F218" s="172" t="str">
        <f t="shared" si="11"/>
        <v>2005-06</v>
      </c>
      <c r="G218" s="68"/>
      <c r="H218" s="167" t="s">
        <v>293</v>
      </c>
      <c r="I218" s="173">
        <v>20414.77563211487</v>
      </c>
      <c r="J218" s="168">
        <f>IFERROR(MIN('MP Calculations'!$E$30/I218,1),"-")</f>
        <v>0.40513348981719682</v>
      </c>
      <c r="K218" s="12"/>
      <c r="L218" s="159">
        <v>1</v>
      </c>
      <c r="M218" s="159" t="s">
        <v>295</v>
      </c>
      <c r="N218" s="159">
        <v>14225.55</v>
      </c>
      <c r="O218" s="185">
        <f t="shared" si="10"/>
        <v>14225.55</v>
      </c>
      <c r="P218" s="215">
        <f t="shared" si="12"/>
        <v>5763.2467160690239</v>
      </c>
      <c r="Q218" s="215" cm="1">
        <f t="array" ref="Q218">IF(P218="-",0,P218/(1+'General inputs'!$H$32)^IFERROR(INDEX('MP Calculations'!$C$40:$C$130,MATCH(F218,'MP Calculations'!$D$40:$D$130,0),0),-1))</f>
        <v>11598.943524864511</v>
      </c>
    </row>
    <row r="219" spans="3:17">
      <c r="C219" s="159"/>
      <c r="D219" s="165" t="s">
        <v>288</v>
      </c>
      <c r="E219" s="161">
        <v>38910</v>
      </c>
      <c r="F219" s="172" t="str">
        <f t="shared" si="11"/>
        <v>2006-07</v>
      </c>
      <c r="G219" s="68"/>
      <c r="H219" s="167" t="s">
        <v>293</v>
      </c>
      <c r="I219" s="173">
        <v>20414.77563211487</v>
      </c>
      <c r="J219" s="168">
        <f>IFERROR(MIN('MP Calculations'!$E$30/I219,1),"-")</f>
        <v>0.40513348981719682</v>
      </c>
      <c r="K219" s="12"/>
      <c r="L219" s="159">
        <v>1.426094</v>
      </c>
      <c r="M219" s="159" t="s">
        <v>294</v>
      </c>
      <c r="N219" s="159">
        <v>726</v>
      </c>
      <c r="O219" s="185">
        <f t="shared" si="10"/>
        <v>1035.3442439999999</v>
      </c>
      <c r="P219" s="215">
        <f t="shared" si="12"/>
        <v>419.45262673386731</v>
      </c>
      <c r="Q219" s="215" cm="1">
        <f t="array" ref="Q219">IF(P219="-",0,P219/(1+'General inputs'!$H$32)^IFERROR(INDEX('MP Calculations'!$C$40:$C$130,MATCH(F219,'MP Calculations'!$D$40:$D$130,0),0),-1))</f>
        <v>810.15183838913003</v>
      </c>
    </row>
    <row r="220" spans="3:17">
      <c r="C220" s="159"/>
      <c r="D220" s="165" t="s">
        <v>288</v>
      </c>
      <c r="E220" s="161">
        <v>38910</v>
      </c>
      <c r="F220" s="172" t="str">
        <f t="shared" si="11"/>
        <v>2006-07</v>
      </c>
      <c r="G220" s="68"/>
      <c r="H220" s="167" t="s">
        <v>293</v>
      </c>
      <c r="I220" s="173">
        <v>20414.77563211487</v>
      </c>
      <c r="J220" s="168">
        <f>IFERROR(MIN('MP Calculations'!$E$30/I220,1),"-")</f>
        <v>0.40513348981719682</v>
      </c>
      <c r="K220" s="12"/>
      <c r="L220" s="159">
        <v>1.7549090000000001</v>
      </c>
      <c r="M220" s="159" t="s">
        <v>294</v>
      </c>
      <c r="N220" s="159">
        <v>726</v>
      </c>
      <c r="O220" s="185">
        <f t="shared" si="10"/>
        <v>1274.063934</v>
      </c>
      <c r="P220" s="215">
        <f t="shared" si="12"/>
        <v>516.16596783164675</v>
      </c>
      <c r="Q220" s="215" cm="1">
        <f t="array" ref="Q220">IF(P220="-",0,P220/(1+'General inputs'!$H$32)^IFERROR(INDEX('MP Calculations'!$C$40:$C$130,MATCH(F220,'MP Calculations'!$D$40:$D$130,0),0),-1))</f>
        <v>996.94883545939467</v>
      </c>
    </row>
    <row r="221" spans="3:17">
      <c r="C221" s="159"/>
      <c r="D221" s="165" t="s">
        <v>288</v>
      </c>
      <c r="E221" s="161">
        <v>38910</v>
      </c>
      <c r="F221" s="172" t="str">
        <f t="shared" si="11"/>
        <v>2006-07</v>
      </c>
      <c r="G221" s="68"/>
      <c r="H221" s="167" t="s">
        <v>293</v>
      </c>
      <c r="I221" s="173">
        <v>20414.77563211487</v>
      </c>
      <c r="J221" s="168">
        <f>IFERROR(MIN('MP Calculations'!$E$30/I221,1),"-")</f>
        <v>0.40513348981719682</v>
      </c>
      <c r="K221" s="12"/>
      <c r="L221" s="159">
        <v>0.835395</v>
      </c>
      <c r="M221" s="159" t="s">
        <v>294</v>
      </c>
      <c r="N221" s="159">
        <v>726</v>
      </c>
      <c r="O221" s="185">
        <f t="shared" si="10"/>
        <v>606.49676999999997</v>
      </c>
      <c r="P221" s="215">
        <f t="shared" si="12"/>
        <v>245.71215299295775</v>
      </c>
      <c r="Q221" s="215" cm="1">
        <f t="array" ref="Q221">IF(P221="-",0,P221/(1+'General inputs'!$H$32)^IFERROR(INDEX('MP Calculations'!$C$40:$C$130,MATCH(F221,'MP Calculations'!$D$40:$D$130,0),0),-1))</f>
        <v>474.58077450090059</v>
      </c>
    </row>
    <row r="222" spans="3:17">
      <c r="C222" s="159"/>
      <c r="D222" s="165" t="s">
        <v>288</v>
      </c>
      <c r="E222" s="161">
        <v>38910</v>
      </c>
      <c r="F222" s="172" t="str">
        <f t="shared" si="11"/>
        <v>2006-07</v>
      </c>
      <c r="G222" s="68"/>
      <c r="H222" s="167" t="s">
        <v>293</v>
      </c>
      <c r="I222" s="173">
        <v>20414.77563211487</v>
      </c>
      <c r="J222" s="168">
        <f>IFERROR(MIN('MP Calculations'!$E$30/I222,1),"-")</f>
        <v>0.40513348981719682</v>
      </c>
      <c r="K222" s="12"/>
      <c r="L222" s="159">
        <v>2.678747</v>
      </c>
      <c r="M222" s="159" t="s">
        <v>294</v>
      </c>
      <c r="N222" s="159">
        <v>726</v>
      </c>
      <c r="O222" s="185">
        <f t="shared" si="10"/>
        <v>1944.7703220000001</v>
      </c>
      <c r="P222" s="215">
        <f t="shared" si="12"/>
        <v>787.89158744477356</v>
      </c>
      <c r="Q222" s="215" cm="1">
        <f t="array" ref="Q222">IF(P222="-",0,P222/(1+'General inputs'!$H$32)^IFERROR(INDEX('MP Calculations'!$C$40:$C$130,MATCH(F222,'MP Calculations'!$D$40:$D$130,0),0),-1))</f>
        <v>1521.7733239389318</v>
      </c>
    </row>
    <row r="223" spans="3:17">
      <c r="C223" s="159"/>
      <c r="D223" s="165" t="s">
        <v>288</v>
      </c>
      <c r="E223" s="161">
        <v>38910</v>
      </c>
      <c r="F223" s="172" t="str">
        <f t="shared" si="11"/>
        <v>2006-07</v>
      </c>
      <c r="G223" s="68"/>
      <c r="H223" s="167" t="s">
        <v>293</v>
      </c>
      <c r="I223" s="173">
        <v>20414.77563211487</v>
      </c>
      <c r="J223" s="168">
        <f>IFERROR(MIN('MP Calculations'!$E$30/I223,1),"-")</f>
        <v>0.40513348981719682</v>
      </c>
      <c r="K223" s="12"/>
      <c r="L223" s="159">
        <v>0.99962600000000001</v>
      </c>
      <c r="M223" s="159" t="s">
        <v>294</v>
      </c>
      <c r="N223" s="159">
        <v>726</v>
      </c>
      <c r="O223" s="185">
        <f t="shared" si="10"/>
        <v>725.728476</v>
      </c>
      <c r="P223" s="215">
        <f t="shared" si="12"/>
        <v>294.01691014159576</v>
      </c>
      <c r="Q223" s="215" cm="1">
        <f t="array" ref="Q223">IF(P223="-",0,P223/(1+'General inputs'!$H$32)^IFERROR(INDEX('MP Calculations'!$C$40:$C$130,MATCH(F223,'MP Calculations'!$D$40:$D$130,0),0),-1))</f>
        <v>567.87900489138337</v>
      </c>
    </row>
    <row r="224" spans="3:17">
      <c r="C224" s="159"/>
      <c r="D224" s="165" t="s">
        <v>281</v>
      </c>
      <c r="E224" s="161">
        <v>38910</v>
      </c>
      <c r="F224" s="172" t="str">
        <f t="shared" si="11"/>
        <v>2006-07</v>
      </c>
      <c r="G224" s="68"/>
      <c r="H224" s="167" t="s">
        <v>293</v>
      </c>
      <c r="I224" s="173">
        <v>20414.77563211487</v>
      </c>
      <c r="J224" s="168">
        <f>IFERROR(MIN('MP Calculations'!$E$30/I224,1),"-")</f>
        <v>0.40513348981719682</v>
      </c>
      <c r="K224" s="12"/>
      <c r="L224" s="159">
        <v>0.143377</v>
      </c>
      <c r="M224" s="159" t="s">
        <v>294</v>
      </c>
      <c r="N224" s="159">
        <v>350</v>
      </c>
      <c r="O224" s="185">
        <f t="shared" si="10"/>
        <v>50.181950000000001</v>
      </c>
      <c r="P224" s="215">
        <f t="shared" si="12"/>
        <v>20.33038852933208</v>
      </c>
      <c r="Q224" s="215" cm="1">
        <f t="array" ref="Q224">IF(P224="-",0,P224/(1+'General inputs'!$H$32)^IFERROR(INDEX('MP Calculations'!$C$40:$C$130,MATCH(F224,'MP Calculations'!$D$40:$D$130,0),0),-1))</f>
        <v>39.267131953506478</v>
      </c>
    </row>
    <row r="225" spans="3:17">
      <c r="C225" s="159"/>
      <c r="D225" s="165" t="s">
        <v>288</v>
      </c>
      <c r="E225" s="161">
        <v>38910</v>
      </c>
      <c r="F225" s="172" t="str">
        <f t="shared" si="11"/>
        <v>2006-07</v>
      </c>
      <c r="G225" s="68"/>
      <c r="H225" s="167" t="s">
        <v>293</v>
      </c>
      <c r="I225" s="173">
        <v>20414.77563211487</v>
      </c>
      <c r="J225" s="168">
        <f>IFERROR(MIN('MP Calculations'!$E$30/I225,1),"-")</f>
        <v>0.40513348981719682</v>
      </c>
      <c r="K225" s="12"/>
      <c r="L225" s="159">
        <v>3.3103449999999999</v>
      </c>
      <c r="M225" s="159" t="s">
        <v>294</v>
      </c>
      <c r="N225" s="159">
        <v>726</v>
      </c>
      <c r="O225" s="185">
        <f t="shared" si="10"/>
        <v>2403.3104699999999</v>
      </c>
      <c r="P225" s="215">
        <f t="shared" si="12"/>
        <v>973.66155782530745</v>
      </c>
      <c r="Q225" s="215" cm="1">
        <f t="array" ref="Q225">IF(P225="-",0,P225/(1+'General inputs'!$H$32)^IFERROR(INDEX('MP Calculations'!$C$40:$C$130,MATCH(F225,'MP Calculations'!$D$40:$D$130,0),0),-1))</f>
        <v>1880.5787609037445</v>
      </c>
    </row>
    <row r="226" spans="3:17">
      <c r="C226" s="159"/>
      <c r="D226" s="165" t="s">
        <v>281</v>
      </c>
      <c r="E226" s="161">
        <v>38910</v>
      </c>
      <c r="F226" s="172" t="str">
        <f t="shared" si="11"/>
        <v>2006-07</v>
      </c>
      <c r="G226" s="68"/>
      <c r="H226" s="167" t="s">
        <v>293</v>
      </c>
      <c r="I226" s="173">
        <v>20414.77563211487</v>
      </c>
      <c r="J226" s="168">
        <f>IFERROR(MIN('MP Calculations'!$E$30/I226,1),"-")</f>
        <v>0.40513348981719682</v>
      </c>
      <c r="K226" s="12"/>
      <c r="L226" s="159">
        <v>80.603841000000003</v>
      </c>
      <c r="M226" s="159" t="s">
        <v>294</v>
      </c>
      <c r="N226" s="159">
        <v>350</v>
      </c>
      <c r="O226" s="185">
        <f t="shared" si="10"/>
        <v>28211.344349999999</v>
      </c>
      <c r="P226" s="215">
        <f t="shared" si="12"/>
        <v>11429.360388950157</v>
      </c>
      <c r="Q226" s="215" cm="1">
        <f t="array" ref="Q226">IF(P226="-",0,P226/(1+'General inputs'!$H$32)^IFERROR(INDEX('MP Calculations'!$C$40:$C$130,MATCH(F226,'MP Calculations'!$D$40:$D$130,0),0),-1))</f>
        <v>22075.239825819033</v>
      </c>
    </row>
    <row r="227" spans="3:17">
      <c r="C227" s="159"/>
      <c r="D227" s="165" t="s">
        <v>288</v>
      </c>
      <c r="E227" s="161">
        <v>38910</v>
      </c>
      <c r="F227" s="172" t="str">
        <f t="shared" si="11"/>
        <v>2006-07</v>
      </c>
      <c r="G227" s="68"/>
      <c r="H227" s="167" t="s">
        <v>293</v>
      </c>
      <c r="I227" s="173">
        <v>20414.77563211487</v>
      </c>
      <c r="J227" s="168">
        <f>IFERROR(MIN('MP Calculations'!$E$30/I227,1),"-")</f>
        <v>0.40513348981719682</v>
      </c>
      <c r="K227" s="12"/>
      <c r="L227" s="159">
        <v>7.5786610000000003</v>
      </c>
      <c r="M227" s="159" t="s">
        <v>294</v>
      </c>
      <c r="N227" s="159">
        <v>726</v>
      </c>
      <c r="O227" s="185">
        <f t="shared" si="10"/>
        <v>5502.1078859999998</v>
      </c>
      <c r="P227" s="215">
        <f t="shared" si="12"/>
        <v>2229.0881692058992</v>
      </c>
      <c r="Q227" s="215" cm="1">
        <f t="array" ref="Q227">IF(P227="-",0,P227/(1+'General inputs'!$H$32)^IFERROR(INDEX('MP Calculations'!$C$40:$C$130,MATCH(F227,'MP Calculations'!$D$40:$D$130,0),0),-1))</f>
        <v>4305.3726764701369</v>
      </c>
    </row>
    <row r="228" spans="3:17">
      <c r="C228" s="159"/>
      <c r="D228" s="165" t="s">
        <v>288</v>
      </c>
      <c r="E228" s="161">
        <v>38910</v>
      </c>
      <c r="F228" s="172" t="str">
        <f t="shared" si="11"/>
        <v>2006-07</v>
      </c>
      <c r="G228" s="68"/>
      <c r="H228" s="167" t="s">
        <v>293</v>
      </c>
      <c r="I228" s="173">
        <v>20414.77563211487</v>
      </c>
      <c r="J228" s="168">
        <f>IFERROR(MIN('MP Calculations'!$E$30/I228,1),"-")</f>
        <v>0.40513348981719682</v>
      </c>
      <c r="K228" s="12"/>
      <c r="L228" s="159">
        <v>0.25079400000000002</v>
      </c>
      <c r="M228" s="159" t="s">
        <v>294</v>
      </c>
      <c r="N228" s="159">
        <v>726</v>
      </c>
      <c r="O228" s="185">
        <f t="shared" si="10"/>
        <v>182.07644400000001</v>
      </c>
      <c r="P228" s="215">
        <f t="shared" si="12"/>
        <v>73.765265171225408</v>
      </c>
      <c r="Q228" s="215" cm="1">
        <f t="array" ref="Q228">IF(P228="-",0,P228/(1+'General inputs'!$H$32)^IFERROR(INDEX('MP Calculations'!$C$40:$C$130,MATCH(F228,'MP Calculations'!$D$40:$D$130,0),0),-1))</f>
        <v>142.47393240344852</v>
      </c>
    </row>
    <row r="229" spans="3:17">
      <c r="C229" s="159"/>
      <c r="D229" s="165" t="s">
        <v>288</v>
      </c>
      <c r="E229" s="161">
        <v>38910</v>
      </c>
      <c r="F229" s="172" t="str">
        <f t="shared" si="11"/>
        <v>2006-07</v>
      </c>
      <c r="G229" s="68"/>
      <c r="H229" s="167" t="s">
        <v>293</v>
      </c>
      <c r="I229" s="173">
        <v>20414.77563211487</v>
      </c>
      <c r="J229" s="168">
        <f>IFERROR(MIN('MP Calculations'!$E$30/I229,1),"-")</f>
        <v>0.40513348981719682</v>
      </c>
      <c r="K229" s="12"/>
      <c r="L229" s="159">
        <v>10.002056</v>
      </c>
      <c r="M229" s="159" t="s">
        <v>294</v>
      </c>
      <c r="N229" s="159">
        <v>726</v>
      </c>
      <c r="O229" s="185">
        <f t="shared" si="10"/>
        <v>7261.4926559999994</v>
      </c>
      <c r="P229" s="215">
        <f t="shared" si="12"/>
        <v>2941.8738610072255</v>
      </c>
      <c r="Q229" s="215" cm="1">
        <f t="array" ref="Q229">IF(P229="-",0,P229/(1+'General inputs'!$H$32)^IFERROR(INDEX('MP Calculations'!$C$40:$C$130,MATCH(F229,'MP Calculations'!$D$40:$D$130,0),0),-1))</f>
        <v>5682.0827070803389</v>
      </c>
    </row>
    <row r="230" spans="3:17">
      <c r="C230" s="159"/>
      <c r="D230" s="165" t="s">
        <v>281</v>
      </c>
      <c r="E230" s="161">
        <v>38910</v>
      </c>
      <c r="F230" s="172" t="str">
        <f t="shared" si="11"/>
        <v>2006-07</v>
      </c>
      <c r="G230" s="68"/>
      <c r="H230" s="167" t="s">
        <v>293</v>
      </c>
      <c r="I230" s="173">
        <v>20414.77563211487</v>
      </c>
      <c r="J230" s="168">
        <f>IFERROR(MIN('MP Calculations'!$E$30/I230,1),"-")</f>
        <v>0.40513348981719682</v>
      </c>
      <c r="K230" s="12"/>
      <c r="L230" s="159">
        <v>0.49998500000000001</v>
      </c>
      <c r="M230" s="159" t="s">
        <v>294</v>
      </c>
      <c r="N230" s="159">
        <v>350</v>
      </c>
      <c r="O230" s="185">
        <f t="shared" si="10"/>
        <v>174.99475000000001</v>
      </c>
      <c r="P230" s="215">
        <f t="shared" si="12"/>
        <v>70.896233767187908</v>
      </c>
      <c r="Q230" s="215" cm="1">
        <f t="array" ref="Q230">IF(P230="-",0,P230/(1+'General inputs'!$H$32)^IFERROR(INDEX('MP Calculations'!$C$40:$C$130,MATCH(F230,'MP Calculations'!$D$40:$D$130,0),0),-1))</f>
        <v>136.93254127073337</v>
      </c>
    </row>
    <row r="231" spans="3:17">
      <c r="C231" s="159"/>
      <c r="D231" s="165" t="s">
        <v>288</v>
      </c>
      <c r="E231" s="161">
        <v>38910</v>
      </c>
      <c r="F231" s="172" t="str">
        <f t="shared" si="11"/>
        <v>2006-07</v>
      </c>
      <c r="G231" s="68"/>
      <c r="H231" s="167" t="s">
        <v>293</v>
      </c>
      <c r="I231" s="173">
        <v>20414.77563211487</v>
      </c>
      <c r="J231" s="168">
        <f>IFERROR(MIN('MP Calculations'!$E$30/I231,1),"-")</f>
        <v>0.40513348981719682</v>
      </c>
      <c r="K231" s="12"/>
      <c r="L231" s="159">
        <v>6.0007169999999999</v>
      </c>
      <c r="M231" s="159" t="s">
        <v>294</v>
      </c>
      <c r="N231" s="159">
        <v>726</v>
      </c>
      <c r="O231" s="185">
        <f t="shared" si="10"/>
        <v>4356.5205420000002</v>
      </c>
      <c r="P231" s="215">
        <f t="shared" si="12"/>
        <v>1764.9723706407658</v>
      </c>
      <c r="Q231" s="215" cm="1">
        <f t="array" ref="Q231">IF(P231="-",0,P231/(1+'General inputs'!$H$32)^IFERROR(INDEX('MP Calculations'!$C$40:$C$130,MATCH(F231,'MP Calculations'!$D$40:$D$130,0),0),-1))</f>
        <v>3408.9561481942324</v>
      </c>
    </row>
    <row r="232" spans="3:17">
      <c r="C232" s="159"/>
      <c r="D232" s="165" t="s">
        <v>288</v>
      </c>
      <c r="E232" s="161">
        <v>38910</v>
      </c>
      <c r="F232" s="172" t="str">
        <f t="shared" si="11"/>
        <v>2006-07</v>
      </c>
      <c r="G232" s="68"/>
      <c r="H232" s="167" t="s">
        <v>293</v>
      </c>
      <c r="I232" s="173">
        <v>20414.77563211487</v>
      </c>
      <c r="J232" s="168">
        <f>IFERROR(MIN('MP Calculations'!$E$30/I232,1),"-")</f>
        <v>0.40513348981719682</v>
      </c>
      <c r="K232" s="12"/>
      <c r="L232" s="159">
        <v>47.974473000000003</v>
      </c>
      <c r="M232" s="159" t="s">
        <v>294</v>
      </c>
      <c r="N232" s="159">
        <v>726</v>
      </c>
      <c r="O232" s="185">
        <f t="shared" si="10"/>
        <v>34829.467398000001</v>
      </c>
      <c r="P232" s="215">
        <f t="shared" si="12"/>
        <v>14110.583675426022</v>
      </c>
      <c r="Q232" s="215" cm="1">
        <f t="array" ref="Q232">IF(P232="-",0,P232/(1+'General inputs'!$H$32)^IFERROR(INDEX('MP Calculations'!$C$40:$C$130,MATCH(F232,'MP Calculations'!$D$40:$D$130,0),0),-1))</f>
        <v>27253.888941892808</v>
      </c>
    </row>
    <row r="233" spans="3:17">
      <c r="C233" s="159"/>
      <c r="D233" s="165" t="s">
        <v>281</v>
      </c>
      <c r="E233" s="161">
        <v>38910</v>
      </c>
      <c r="F233" s="172" t="str">
        <f t="shared" si="11"/>
        <v>2006-07</v>
      </c>
      <c r="G233" s="68"/>
      <c r="H233" s="167" t="s">
        <v>293</v>
      </c>
      <c r="I233" s="173">
        <v>20414.77563211487</v>
      </c>
      <c r="J233" s="168">
        <f>IFERROR(MIN('MP Calculations'!$E$30/I233,1),"-")</f>
        <v>0.40513348981719682</v>
      </c>
      <c r="K233" s="12"/>
      <c r="L233" s="159">
        <v>0.301869</v>
      </c>
      <c r="M233" s="159" t="s">
        <v>294</v>
      </c>
      <c r="N233" s="159">
        <v>350</v>
      </c>
      <c r="O233" s="185">
        <f t="shared" si="10"/>
        <v>105.65415</v>
      </c>
      <c r="P233" s="215">
        <f t="shared" si="12"/>
        <v>42.804034503169589</v>
      </c>
      <c r="Q233" s="215" cm="1">
        <f t="array" ref="Q233">IF(P233="-",0,P233/(1+'General inputs'!$H$32)^IFERROR(INDEX('MP Calculations'!$C$40:$C$130,MATCH(F233,'MP Calculations'!$D$40:$D$130,0),0),-1))</f>
        <v>82.673858817474539</v>
      </c>
    </row>
    <row r="234" spans="3:17">
      <c r="C234" s="159"/>
      <c r="D234" s="165" t="s">
        <v>281</v>
      </c>
      <c r="E234" s="161">
        <v>38910</v>
      </c>
      <c r="F234" s="172" t="str">
        <f t="shared" si="11"/>
        <v>2006-07</v>
      </c>
      <c r="G234" s="68"/>
      <c r="H234" s="167" t="s">
        <v>293</v>
      </c>
      <c r="I234" s="173">
        <v>20414.77563211487</v>
      </c>
      <c r="J234" s="168">
        <f>IFERROR(MIN('MP Calculations'!$E$30/I234,1),"-")</f>
        <v>0.40513348981719682</v>
      </c>
      <c r="K234" s="12"/>
      <c r="L234" s="159">
        <v>4.1567610000000004</v>
      </c>
      <c r="M234" s="159" t="s">
        <v>294</v>
      </c>
      <c r="N234" s="159">
        <v>350</v>
      </c>
      <c r="O234" s="185">
        <f t="shared" si="10"/>
        <v>1454.8663500000002</v>
      </c>
      <c r="P234" s="215">
        <f t="shared" si="12"/>
        <v>589.4150815931074</v>
      </c>
      <c r="Q234" s="215" cm="1">
        <f t="array" ref="Q234">IF(P234="-",0,P234/(1+'General inputs'!$H$32)^IFERROR(INDEX('MP Calculations'!$C$40:$C$130,MATCH(F234,'MP Calculations'!$D$40:$D$130,0),0),-1))</f>
        <v>1138.4258471455641</v>
      </c>
    </row>
    <row r="235" spans="3:17">
      <c r="C235" s="159"/>
      <c r="D235" s="165" t="s">
        <v>288</v>
      </c>
      <c r="E235" s="161">
        <v>38910</v>
      </c>
      <c r="F235" s="172" t="str">
        <f t="shared" si="11"/>
        <v>2006-07</v>
      </c>
      <c r="G235" s="68"/>
      <c r="H235" s="167" t="s">
        <v>293</v>
      </c>
      <c r="I235" s="173">
        <v>20414.77563211487</v>
      </c>
      <c r="J235" s="168">
        <f>IFERROR(MIN('MP Calculations'!$E$30/I235,1),"-")</f>
        <v>0.40513348981719682</v>
      </c>
      <c r="K235" s="12"/>
      <c r="L235" s="159">
        <v>4.3551900000000003</v>
      </c>
      <c r="M235" s="159" t="s">
        <v>294</v>
      </c>
      <c r="N235" s="159">
        <v>726</v>
      </c>
      <c r="O235" s="185">
        <f t="shared" si="10"/>
        <v>3161.8679400000001</v>
      </c>
      <c r="P235" s="215">
        <f t="shared" si="12"/>
        <v>1280.9785928733111</v>
      </c>
      <c r="Q235" s="215" cm="1">
        <f t="array" ref="Q235">IF(P235="-",0,P235/(1+'General inputs'!$H$32)^IFERROR(INDEX('MP Calculations'!$C$40:$C$130,MATCH(F235,'MP Calculations'!$D$40:$D$130,0),0),-1))</f>
        <v>2474.1462940268702</v>
      </c>
    </row>
    <row r="236" spans="3:17">
      <c r="C236" s="159"/>
      <c r="D236" s="165" t="s">
        <v>288</v>
      </c>
      <c r="E236" s="161">
        <v>38910</v>
      </c>
      <c r="F236" s="172" t="str">
        <f t="shared" si="11"/>
        <v>2006-07</v>
      </c>
      <c r="G236" s="68"/>
      <c r="H236" s="167" t="s">
        <v>293</v>
      </c>
      <c r="I236" s="173">
        <v>20414.77563211487</v>
      </c>
      <c r="J236" s="168">
        <f>IFERROR(MIN('MP Calculations'!$E$30/I236,1),"-")</f>
        <v>0.40513348981719682</v>
      </c>
      <c r="K236" s="12"/>
      <c r="L236" s="159">
        <v>1.9998689999999999</v>
      </c>
      <c r="M236" s="159" t="s">
        <v>294</v>
      </c>
      <c r="N236" s="159">
        <v>726</v>
      </c>
      <c r="O236" s="185">
        <f t="shared" si="10"/>
        <v>1451.904894</v>
      </c>
      <c r="P236" s="215">
        <f t="shared" si="12"/>
        <v>588.21529658888721</v>
      </c>
      <c r="Q236" s="215" cm="1">
        <f t="array" ref="Q236">IF(P236="-",0,P236/(1+'General inputs'!$H$32)^IFERROR(INDEX('MP Calculations'!$C$40:$C$130,MATCH(F236,'MP Calculations'!$D$40:$D$130,0),0),-1))</f>
        <v>1136.1085222204365</v>
      </c>
    </row>
    <row r="237" spans="3:17">
      <c r="C237" s="159"/>
      <c r="D237" s="165" t="s">
        <v>288</v>
      </c>
      <c r="E237" s="161">
        <v>38910</v>
      </c>
      <c r="F237" s="172" t="str">
        <f t="shared" si="11"/>
        <v>2006-07</v>
      </c>
      <c r="G237" s="68"/>
      <c r="H237" s="167" t="s">
        <v>293</v>
      </c>
      <c r="I237" s="173">
        <v>20414.77563211487</v>
      </c>
      <c r="J237" s="168">
        <f>IFERROR(MIN('MP Calculations'!$E$30/I237,1),"-")</f>
        <v>0.40513348981719682</v>
      </c>
      <c r="K237" s="12"/>
      <c r="L237" s="159">
        <v>2.5289039999999998</v>
      </c>
      <c r="M237" s="159" t="s">
        <v>294</v>
      </c>
      <c r="N237" s="159">
        <v>726</v>
      </c>
      <c r="O237" s="185">
        <f t="shared" si="10"/>
        <v>1835.9843039999998</v>
      </c>
      <c r="P237" s="215">
        <f t="shared" si="12"/>
        <v>743.81872832911711</v>
      </c>
      <c r="Q237" s="215" cm="1">
        <f t="array" ref="Q237">IF(P237="-",0,P237/(1+'General inputs'!$H$32)^IFERROR(INDEX('MP Calculations'!$C$40:$C$130,MATCH(F237,'MP Calculations'!$D$40:$D$130,0),0),-1))</f>
        <v>1436.6487936346582</v>
      </c>
    </row>
    <row r="238" spans="3:17">
      <c r="C238" s="159"/>
      <c r="D238" s="165" t="s">
        <v>288</v>
      </c>
      <c r="E238" s="161">
        <v>38910</v>
      </c>
      <c r="F238" s="172" t="str">
        <f t="shared" si="11"/>
        <v>2006-07</v>
      </c>
      <c r="G238" s="68"/>
      <c r="H238" s="167" t="s">
        <v>293</v>
      </c>
      <c r="I238" s="173">
        <v>20414.77563211487</v>
      </c>
      <c r="J238" s="168">
        <f>IFERROR(MIN('MP Calculations'!$E$30/I238,1),"-")</f>
        <v>0.40513348981719682</v>
      </c>
      <c r="K238" s="12"/>
      <c r="L238" s="159">
        <v>7.7535730000000003</v>
      </c>
      <c r="M238" s="159" t="s">
        <v>294</v>
      </c>
      <c r="N238" s="159">
        <v>726</v>
      </c>
      <c r="O238" s="185">
        <f t="shared" si="10"/>
        <v>5629.0939980000003</v>
      </c>
      <c r="P238" s="215">
        <f t="shared" si="12"/>
        <v>2280.5344959187769</v>
      </c>
      <c r="Q238" s="215" cm="1">
        <f t="array" ref="Q238">IF(P238="-",0,P238/(1+'General inputs'!$H$32)^IFERROR(INDEX('MP Calculations'!$C$40:$C$130,MATCH(F238,'MP Calculations'!$D$40:$D$130,0),0),-1))</f>
        <v>4404.7386918634556</v>
      </c>
    </row>
    <row r="239" spans="3:17">
      <c r="C239" s="159"/>
      <c r="D239" s="165" t="s">
        <v>281</v>
      </c>
      <c r="E239" s="161">
        <v>38910</v>
      </c>
      <c r="F239" s="172" t="str">
        <f t="shared" si="11"/>
        <v>2006-07</v>
      </c>
      <c r="G239" s="68"/>
      <c r="H239" s="167" t="s">
        <v>293</v>
      </c>
      <c r="I239" s="173">
        <v>20414.77563211487</v>
      </c>
      <c r="J239" s="168">
        <f>IFERROR(MIN('MP Calculations'!$E$30/I239,1),"-")</f>
        <v>0.40513348981719682</v>
      </c>
      <c r="K239" s="12"/>
      <c r="L239" s="159">
        <v>0.99956199999999995</v>
      </c>
      <c r="M239" s="159" t="s">
        <v>294</v>
      </c>
      <c r="N239" s="159">
        <v>350</v>
      </c>
      <c r="O239" s="185">
        <f t="shared" si="10"/>
        <v>349.8467</v>
      </c>
      <c r="P239" s="215">
        <f t="shared" si="12"/>
        <v>141.7346144720299</v>
      </c>
      <c r="Q239" s="215" cm="1">
        <f t="array" ref="Q239">IF(P239="-",0,P239/(1+'General inputs'!$H$32)^IFERROR(INDEX('MP Calculations'!$C$40:$C$130,MATCH(F239,'MP Calculations'!$D$40:$D$130,0),0),-1))</f>
        <v>273.75334223558059</v>
      </c>
    </row>
    <row r="240" spans="3:17">
      <c r="C240" s="159"/>
      <c r="D240" s="165" t="s">
        <v>288</v>
      </c>
      <c r="E240" s="161">
        <v>38910</v>
      </c>
      <c r="F240" s="172" t="str">
        <f t="shared" si="11"/>
        <v>2006-07</v>
      </c>
      <c r="G240" s="68"/>
      <c r="H240" s="167" t="s">
        <v>293</v>
      </c>
      <c r="I240" s="173">
        <v>20414.77563211487</v>
      </c>
      <c r="J240" s="168">
        <f>IFERROR(MIN('MP Calculations'!$E$30/I240,1),"-")</f>
        <v>0.40513348981719682</v>
      </c>
      <c r="K240" s="12"/>
      <c r="L240" s="159">
        <v>60.11045</v>
      </c>
      <c r="M240" s="159" t="s">
        <v>294</v>
      </c>
      <c r="N240" s="159">
        <v>726</v>
      </c>
      <c r="O240" s="185">
        <f t="shared" si="10"/>
        <v>43640.186699999998</v>
      </c>
      <c r="P240" s="215">
        <f t="shared" si="12"/>
        <v>17680.101134045017</v>
      </c>
      <c r="Q240" s="215" cm="1">
        <f t="array" ref="Q240">IF(P240="-",0,P240/(1+'General inputs'!$H$32)^IFERROR(INDEX('MP Calculations'!$C$40:$C$130,MATCH(F240,'MP Calculations'!$D$40:$D$130,0),0),-1))</f>
        <v>34148.233969077693</v>
      </c>
    </row>
    <row r="241" spans="3:17">
      <c r="C241" s="159"/>
      <c r="D241" s="165" t="s">
        <v>288</v>
      </c>
      <c r="E241" s="161">
        <v>38910</v>
      </c>
      <c r="F241" s="172" t="str">
        <f t="shared" si="11"/>
        <v>2006-07</v>
      </c>
      <c r="G241" s="68"/>
      <c r="H241" s="167" t="s">
        <v>293</v>
      </c>
      <c r="I241" s="173">
        <v>20414.77563211487</v>
      </c>
      <c r="J241" s="168">
        <f>IFERROR(MIN('MP Calculations'!$E$30/I241,1),"-")</f>
        <v>0.40513348981719682</v>
      </c>
      <c r="K241" s="12"/>
      <c r="L241" s="159">
        <v>10.025441000000001</v>
      </c>
      <c r="M241" s="159" t="s">
        <v>294</v>
      </c>
      <c r="N241" s="159">
        <v>726</v>
      </c>
      <c r="O241" s="185">
        <f t="shared" si="10"/>
        <v>7278.470166000001</v>
      </c>
      <c r="P241" s="215">
        <f t="shared" si="12"/>
        <v>2948.7520188819321</v>
      </c>
      <c r="Q241" s="215" cm="1">
        <f t="array" ref="Q241">IF(P241="-",0,P241/(1+'General inputs'!$H$32)^IFERROR(INDEX('MP Calculations'!$C$40:$C$130,MATCH(F241,'MP Calculations'!$D$40:$D$130,0),0),-1))</f>
        <v>5695.3675261320495</v>
      </c>
    </row>
    <row r="242" spans="3:17">
      <c r="C242" s="159"/>
      <c r="D242" s="165" t="s">
        <v>288</v>
      </c>
      <c r="E242" s="161">
        <v>38910</v>
      </c>
      <c r="F242" s="172" t="str">
        <f t="shared" si="11"/>
        <v>2006-07</v>
      </c>
      <c r="G242" s="68"/>
      <c r="H242" s="167" t="s">
        <v>293</v>
      </c>
      <c r="I242" s="173">
        <v>20414.77563211487</v>
      </c>
      <c r="J242" s="168">
        <f>IFERROR(MIN('MP Calculations'!$E$30/I242,1),"-")</f>
        <v>0.40513348981719682</v>
      </c>
      <c r="K242" s="12"/>
      <c r="L242" s="159">
        <v>23.844677000000001</v>
      </c>
      <c r="M242" s="159" t="s">
        <v>294</v>
      </c>
      <c r="N242" s="159">
        <v>726</v>
      </c>
      <c r="O242" s="185">
        <f t="shared" si="10"/>
        <v>17311.235502</v>
      </c>
      <c r="P242" s="215">
        <f t="shared" si="12"/>
        <v>7013.361251972613</v>
      </c>
      <c r="Q242" s="215" cm="1">
        <f t="array" ref="Q242">IF(P242="-",0,P242/(1+'General inputs'!$H$32)^IFERROR(INDEX('MP Calculations'!$C$40:$C$130,MATCH(F242,'MP Calculations'!$D$40:$D$130,0),0),-1))</f>
        <v>13545.9576348719</v>
      </c>
    </row>
    <row r="243" spans="3:17">
      <c r="C243" s="159"/>
      <c r="D243" s="165" t="s">
        <v>288</v>
      </c>
      <c r="E243" s="161">
        <v>38910</v>
      </c>
      <c r="F243" s="172" t="str">
        <f t="shared" si="11"/>
        <v>2006-07</v>
      </c>
      <c r="G243" s="68"/>
      <c r="H243" s="167" t="s">
        <v>293</v>
      </c>
      <c r="I243" s="173">
        <v>20414.77563211487</v>
      </c>
      <c r="J243" s="168">
        <f>IFERROR(MIN('MP Calculations'!$E$30/I243,1),"-")</f>
        <v>0.40513348981719682</v>
      </c>
      <c r="K243" s="12"/>
      <c r="L243" s="159">
        <v>0.487396</v>
      </c>
      <c r="M243" s="159" t="s">
        <v>294</v>
      </c>
      <c r="N243" s="159">
        <v>726</v>
      </c>
      <c r="O243" s="185">
        <f t="shared" si="10"/>
        <v>353.84949599999999</v>
      </c>
      <c r="P243" s="215">
        <f t="shared" si="12"/>
        <v>143.35628118453621</v>
      </c>
      <c r="Q243" s="215" cm="1">
        <f t="array" ref="Q243">IF(P243="-",0,P243/(1+'General inputs'!$H$32)^IFERROR(INDEX('MP Calculations'!$C$40:$C$130,MATCH(F243,'MP Calculations'!$D$40:$D$130,0),0),-1))</f>
        <v>276.88551064902344</v>
      </c>
    </row>
    <row r="244" spans="3:17">
      <c r="C244" s="159"/>
      <c r="D244" s="165" t="s">
        <v>288</v>
      </c>
      <c r="E244" s="161">
        <v>38910</v>
      </c>
      <c r="F244" s="172" t="str">
        <f t="shared" si="11"/>
        <v>2006-07</v>
      </c>
      <c r="G244" s="68"/>
      <c r="H244" s="167" t="s">
        <v>293</v>
      </c>
      <c r="I244" s="173">
        <v>20414.77563211487</v>
      </c>
      <c r="J244" s="168">
        <f>IFERROR(MIN('MP Calculations'!$E$30/I244,1),"-")</f>
        <v>0.40513348981719682</v>
      </c>
      <c r="K244" s="12"/>
      <c r="L244" s="159">
        <v>3.29251</v>
      </c>
      <c r="M244" s="159" t="s">
        <v>294</v>
      </c>
      <c r="N244" s="159">
        <v>726</v>
      </c>
      <c r="O244" s="185">
        <f t="shared" si="10"/>
        <v>2390.3622599999999</v>
      </c>
      <c r="P244" s="215">
        <f t="shared" si="12"/>
        <v>968.41580432112153</v>
      </c>
      <c r="Q244" s="215" cm="1">
        <f t="array" ref="Q244">IF(P244="-",0,P244/(1+'General inputs'!$H$32)^IFERROR(INDEX('MP Calculations'!$C$40:$C$130,MATCH(F244,'MP Calculations'!$D$40:$D$130,0),0),-1))</f>
        <v>1870.4468495166479</v>
      </c>
    </row>
    <row r="245" spans="3:17">
      <c r="C245" s="159"/>
      <c r="D245" s="165" t="s">
        <v>281</v>
      </c>
      <c r="E245" s="161">
        <v>38910</v>
      </c>
      <c r="F245" s="172" t="str">
        <f t="shared" si="11"/>
        <v>2006-07</v>
      </c>
      <c r="G245" s="68"/>
      <c r="H245" s="167" t="s">
        <v>293</v>
      </c>
      <c r="I245" s="173">
        <v>20414.77563211487</v>
      </c>
      <c r="J245" s="168">
        <f>IFERROR(MIN('MP Calculations'!$E$30/I245,1),"-")</f>
        <v>0.40513348981719682</v>
      </c>
      <c r="K245" s="12"/>
      <c r="L245" s="159">
        <v>26.836625999999999</v>
      </c>
      <c r="M245" s="159" t="s">
        <v>294</v>
      </c>
      <c r="N245" s="159">
        <v>350</v>
      </c>
      <c r="O245" s="185">
        <f t="shared" si="10"/>
        <v>9392.8190999999988</v>
      </c>
      <c r="P245" s="215">
        <f t="shared" si="12"/>
        <v>3805.3455812046213</v>
      </c>
      <c r="Q245" s="215" cm="1">
        <f t="array" ref="Q245">IF(P245="-",0,P245/(1+'General inputs'!$H$32)^IFERROR(INDEX('MP Calculations'!$C$40:$C$130,MATCH(F245,'MP Calculations'!$D$40:$D$130,0),0),-1))</f>
        <v>7349.8352896831611</v>
      </c>
    </row>
    <row r="246" spans="3:17">
      <c r="C246" s="159"/>
      <c r="D246" s="165" t="s">
        <v>281</v>
      </c>
      <c r="E246" s="161">
        <v>38910</v>
      </c>
      <c r="F246" s="172" t="str">
        <f t="shared" si="11"/>
        <v>2006-07</v>
      </c>
      <c r="G246" s="68"/>
      <c r="H246" s="167" t="s">
        <v>293</v>
      </c>
      <c r="I246" s="173">
        <v>20414.77563211487</v>
      </c>
      <c r="J246" s="168">
        <f>IFERROR(MIN('MP Calculations'!$E$30/I246,1),"-")</f>
        <v>0.40513348981719682</v>
      </c>
      <c r="K246" s="12"/>
      <c r="L246" s="159">
        <v>0.85578799999999999</v>
      </c>
      <c r="M246" s="159" t="s">
        <v>294</v>
      </c>
      <c r="N246" s="159">
        <v>350</v>
      </c>
      <c r="O246" s="185">
        <f t="shared" si="10"/>
        <v>299.5258</v>
      </c>
      <c r="P246" s="215">
        <f t="shared" si="12"/>
        <v>121.34793264428774</v>
      </c>
      <c r="Q246" s="215" cm="1">
        <f t="array" ref="Q246">IF(P246="-",0,P246/(1+'General inputs'!$H$32)^IFERROR(INDEX('MP Calculations'!$C$40:$C$130,MATCH(F246,'MP Calculations'!$D$40:$D$130,0),0),-1))</f>
        <v>234.37748258247419</v>
      </c>
    </row>
    <row r="247" spans="3:17">
      <c r="C247" s="159"/>
      <c r="D247" s="165" t="s">
        <v>288</v>
      </c>
      <c r="E247" s="161">
        <v>38910</v>
      </c>
      <c r="F247" s="172" t="str">
        <f t="shared" si="11"/>
        <v>2006-07</v>
      </c>
      <c r="G247" s="68"/>
      <c r="H247" s="167" t="s">
        <v>293</v>
      </c>
      <c r="I247" s="173">
        <v>20414.77563211487</v>
      </c>
      <c r="J247" s="168">
        <f>IFERROR(MIN('MP Calculations'!$E$30/I247,1),"-")</f>
        <v>0.40513348981719682</v>
      </c>
      <c r="K247" s="12"/>
      <c r="L247" s="159">
        <v>38.624547</v>
      </c>
      <c r="M247" s="159" t="s">
        <v>294</v>
      </c>
      <c r="N247" s="159">
        <v>726</v>
      </c>
      <c r="O247" s="185">
        <f t="shared" si="10"/>
        <v>28041.421122</v>
      </c>
      <c r="P247" s="215">
        <f t="shared" si="12"/>
        <v>11360.518798589515</v>
      </c>
      <c r="Q247" s="215" cm="1">
        <f t="array" ref="Q247">IF(P247="-",0,P247/(1+'General inputs'!$H$32)^IFERROR(INDEX('MP Calculations'!$C$40:$C$130,MATCH(F247,'MP Calculations'!$D$40:$D$130,0),0),-1))</f>
        <v>21942.275725861942</v>
      </c>
    </row>
    <row r="248" spans="3:17">
      <c r="C248" s="159"/>
      <c r="D248" s="165" t="s">
        <v>288</v>
      </c>
      <c r="E248" s="161">
        <v>38910</v>
      </c>
      <c r="F248" s="172" t="str">
        <f t="shared" si="11"/>
        <v>2006-07</v>
      </c>
      <c r="G248" s="68"/>
      <c r="H248" s="167" t="s">
        <v>293</v>
      </c>
      <c r="I248" s="173">
        <v>20414.77563211487</v>
      </c>
      <c r="J248" s="168">
        <f>IFERROR(MIN('MP Calculations'!$E$30/I248,1),"-")</f>
        <v>0.40513348981719682</v>
      </c>
      <c r="K248" s="12"/>
      <c r="L248" s="159">
        <v>1.4068609999999999</v>
      </c>
      <c r="M248" s="159" t="s">
        <v>294</v>
      </c>
      <c r="N248" s="159">
        <v>726</v>
      </c>
      <c r="O248" s="185">
        <f t="shared" si="10"/>
        <v>1021.381086</v>
      </c>
      <c r="P248" s="215">
        <f t="shared" si="12"/>
        <v>413.79568380445841</v>
      </c>
      <c r="Q248" s="215" cm="1">
        <f t="array" ref="Q248">IF(P248="-",0,P248/(1+'General inputs'!$H$32)^IFERROR(INDEX('MP Calculations'!$C$40:$C$130,MATCH(F248,'MP Calculations'!$D$40:$D$130,0),0),-1))</f>
        <v>799.2257351254334</v>
      </c>
    </row>
    <row r="249" spans="3:17">
      <c r="C249" s="159"/>
      <c r="D249" s="165" t="s">
        <v>288</v>
      </c>
      <c r="E249" s="161">
        <v>38910</v>
      </c>
      <c r="F249" s="172" t="str">
        <f t="shared" si="11"/>
        <v>2006-07</v>
      </c>
      <c r="G249" s="68"/>
      <c r="H249" s="167" t="s">
        <v>293</v>
      </c>
      <c r="I249" s="173">
        <v>20414.77563211487</v>
      </c>
      <c r="J249" s="168">
        <f>IFERROR(MIN('MP Calculations'!$E$30/I249,1),"-")</f>
        <v>0.40513348981719682</v>
      </c>
      <c r="K249" s="12"/>
      <c r="L249" s="159">
        <v>1.567258</v>
      </c>
      <c r="M249" s="159" t="s">
        <v>294</v>
      </c>
      <c r="N249" s="159">
        <v>726</v>
      </c>
      <c r="O249" s="185">
        <f t="shared" si="10"/>
        <v>1137.8293080000001</v>
      </c>
      <c r="P249" s="215">
        <f t="shared" si="12"/>
        <v>460.97275836632616</v>
      </c>
      <c r="Q249" s="215" cm="1">
        <f t="array" ref="Q249">IF(P249="-",0,P249/(1+'General inputs'!$H$32)^IFERROR(INDEX('MP Calculations'!$C$40:$C$130,MATCH(F249,'MP Calculations'!$D$40:$D$130,0),0),-1))</f>
        <v>890.34590281571298</v>
      </c>
    </row>
    <row r="250" spans="3:17">
      <c r="C250" s="159"/>
      <c r="D250" s="165" t="s">
        <v>288</v>
      </c>
      <c r="E250" s="161">
        <v>38910</v>
      </c>
      <c r="F250" s="172" t="str">
        <f t="shared" si="11"/>
        <v>2006-07</v>
      </c>
      <c r="G250" s="68"/>
      <c r="H250" s="167" t="s">
        <v>293</v>
      </c>
      <c r="I250" s="173">
        <v>20414.77563211487</v>
      </c>
      <c r="J250" s="168">
        <f>IFERROR(MIN('MP Calculations'!$E$30/I250,1),"-")</f>
        <v>0.40513348981719682</v>
      </c>
      <c r="K250" s="12"/>
      <c r="L250" s="159">
        <v>1.2998050000000001</v>
      </c>
      <c r="M250" s="159" t="s">
        <v>294</v>
      </c>
      <c r="N250" s="159">
        <v>726</v>
      </c>
      <c r="O250" s="185">
        <f t="shared" si="10"/>
        <v>943.65843000000007</v>
      </c>
      <c r="P250" s="215">
        <f t="shared" si="12"/>
        <v>382.30763294131697</v>
      </c>
      <c r="Q250" s="215" cm="1">
        <f t="array" ref="Q250">IF(P250="-",0,P250/(1+'General inputs'!$H$32)^IFERROR(INDEX('MP Calculations'!$C$40:$C$130,MATCH(F250,'MP Calculations'!$D$40:$D$130,0),0),-1))</f>
        <v>738.40813459518324</v>
      </c>
    </row>
    <row r="251" spans="3:17">
      <c r="C251" s="159"/>
      <c r="D251" s="165" t="s">
        <v>281</v>
      </c>
      <c r="E251" s="161">
        <v>39083</v>
      </c>
      <c r="F251" s="172" t="str">
        <f t="shared" si="11"/>
        <v>2006-07</v>
      </c>
      <c r="G251" s="68"/>
      <c r="H251" s="167" t="s">
        <v>293</v>
      </c>
      <c r="I251" s="173">
        <v>20414.77563211487</v>
      </c>
      <c r="J251" s="168">
        <f>IFERROR(MIN('MP Calculations'!$E$30/I251,1),"-")</f>
        <v>0.40513348981719682</v>
      </c>
      <c r="K251" s="12"/>
      <c r="L251" s="159">
        <v>9.9998839999999998</v>
      </c>
      <c r="M251" s="159" t="s">
        <v>294</v>
      </c>
      <c r="N251" s="159">
        <v>350</v>
      </c>
      <c r="O251" s="185">
        <f t="shared" si="10"/>
        <v>3499.9593999999997</v>
      </c>
      <c r="P251" s="215">
        <f t="shared" si="12"/>
        <v>1417.9507659405022</v>
      </c>
      <c r="Q251" s="215" cm="1">
        <f t="array" ref="Q251">IF(P251="-",0,P251/(1+'General inputs'!$H$32)^IFERROR(INDEX('MP Calculations'!$C$40:$C$130,MATCH(F251,'MP Calculations'!$D$40:$D$130,0),0),-1))</f>
        <v>2738.7012181016348</v>
      </c>
    </row>
    <row r="252" spans="3:17">
      <c r="C252" s="159"/>
      <c r="D252" s="165" t="s">
        <v>281</v>
      </c>
      <c r="E252" s="161">
        <v>39083</v>
      </c>
      <c r="F252" s="172" t="str">
        <f t="shared" si="11"/>
        <v>2006-07</v>
      </c>
      <c r="G252" s="68"/>
      <c r="H252" s="167" t="s">
        <v>293</v>
      </c>
      <c r="I252" s="173">
        <v>20414.77563211487</v>
      </c>
      <c r="J252" s="168">
        <f>IFERROR(MIN('MP Calculations'!$E$30/I252,1),"-")</f>
        <v>0.40513348981719682</v>
      </c>
      <c r="K252" s="12"/>
      <c r="L252" s="159">
        <v>1.565366</v>
      </c>
      <c r="M252" s="159" t="s">
        <v>294</v>
      </c>
      <c r="N252" s="159">
        <v>350</v>
      </c>
      <c r="O252" s="185">
        <f t="shared" si="10"/>
        <v>547.87810000000002</v>
      </c>
      <c r="P252" s="215">
        <f t="shared" si="12"/>
        <v>221.96376664741516</v>
      </c>
      <c r="Q252" s="215" cm="1">
        <f t="array" ref="Q252">IF(P252="-",0,P252/(1+'General inputs'!$H$32)^IFERROR(INDEX('MP Calculations'!$C$40:$C$130,MATCH(F252,'MP Calculations'!$D$40:$D$130,0),0),-1))</f>
        <v>428.71195015611028</v>
      </c>
    </row>
    <row r="253" spans="3:17">
      <c r="C253" s="159"/>
      <c r="D253" s="165" t="s">
        <v>281</v>
      </c>
      <c r="E253" s="161">
        <v>39083</v>
      </c>
      <c r="F253" s="172" t="str">
        <f t="shared" si="11"/>
        <v>2006-07</v>
      </c>
      <c r="G253" s="68"/>
      <c r="H253" s="167" t="s">
        <v>293</v>
      </c>
      <c r="I253" s="173">
        <v>20414.77563211487</v>
      </c>
      <c r="J253" s="168">
        <f>IFERROR(MIN('MP Calculations'!$E$30/I253,1),"-")</f>
        <v>0.40513348981719682</v>
      </c>
      <c r="K253" s="12"/>
      <c r="L253" s="159">
        <v>0.51004799999999995</v>
      </c>
      <c r="M253" s="159" t="s">
        <v>294</v>
      </c>
      <c r="N253" s="159">
        <v>350</v>
      </c>
      <c r="O253" s="185">
        <f t="shared" si="10"/>
        <v>178.51679999999999</v>
      </c>
      <c r="P253" s="215">
        <f t="shared" si="12"/>
        <v>72.323134174998557</v>
      </c>
      <c r="Q253" s="215" cm="1">
        <f t="array" ref="Q253">IF(P253="-",0,P253/(1+'General inputs'!$H$32)^IFERROR(INDEX('MP Calculations'!$C$40:$C$130,MATCH(F253,'MP Calculations'!$D$40:$D$130,0),0),-1))</f>
        <v>139.68852827595828</v>
      </c>
    </row>
    <row r="254" spans="3:17">
      <c r="C254" s="159"/>
      <c r="D254" s="165" t="s">
        <v>281</v>
      </c>
      <c r="E254" s="161">
        <v>39083</v>
      </c>
      <c r="F254" s="172" t="str">
        <f t="shared" si="11"/>
        <v>2006-07</v>
      </c>
      <c r="G254" s="68"/>
      <c r="H254" s="167" t="s">
        <v>293</v>
      </c>
      <c r="I254" s="173">
        <v>20414.77563211487</v>
      </c>
      <c r="J254" s="168">
        <f>IFERROR(MIN('MP Calculations'!$E$30/I254,1),"-")</f>
        <v>0.40513348981719682</v>
      </c>
      <c r="K254" s="12"/>
      <c r="L254" s="159">
        <v>7.0418209999999997</v>
      </c>
      <c r="M254" s="159" t="s">
        <v>294</v>
      </c>
      <c r="N254" s="159">
        <v>350</v>
      </c>
      <c r="O254" s="185">
        <f t="shared" si="10"/>
        <v>2464.63735</v>
      </c>
      <c r="P254" s="215">
        <f t="shared" si="12"/>
        <v>998.50713073930797</v>
      </c>
      <c r="Q254" s="215" cm="1">
        <f t="array" ref="Q254">IF(P254="-",0,P254/(1+'General inputs'!$H$32)^IFERROR(INDEX('MP Calculations'!$C$40:$C$130,MATCH(F254,'MP Calculations'!$D$40:$D$130,0),0),-1))</f>
        <v>1928.5667464096259</v>
      </c>
    </row>
    <row r="255" spans="3:17">
      <c r="C255" s="159"/>
      <c r="D255" s="165" t="s">
        <v>281</v>
      </c>
      <c r="E255" s="161">
        <v>39083</v>
      </c>
      <c r="F255" s="172" t="str">
        <f t="shared" si="11"/>
        <v>2006-07</v>
      </c>
      <c r="G255" s="68"/>
      <c r="H255" s="167" t="s">
        <v>293</v>
      </c>
      <c r="I255" s="173">
        <v>20414.77563211487</v>
      </c>
      <c r="J255" s="168">
        <f>IFERROR(MIN('MP Calculations'!$E$30/I255,1),"-")</f>
        <v>0.40513348981719682</v>
      </c>
      <c r="K255" s="12"/>
      <c r="L255" s="159">
        <v>0.599634</v>
      </c>
      <c r="M255" s="159" t="s">
        <v>294</v>
      </c>
      <c r="N255" s="159">
        <v>350</v>
      </c>
      <c r="O255" s="185">
        <f t="shared" si="10"/>
        <v>209.87190000000001</v>
      </c>
      <c r="P255" s="215">
        <f t="shared" si="12"/>
        <v>85.026135261565756</v>
      </c>
      <c r="Q255" s="215" cm="1">
        <f t="array" ref="Q255">IF(P255="-",0,P255/(1+'General inputs'!$H$32)^IFERROR(INDEX('MP Calculations'!$C$40:$C$130,MATCH(F255,'MP Calculations'!$D$40:$D$130,0),0),-1))</f>
        <v>164.22374161691837</v>
      </c>
    </row>
    <row r="256" spans="3:17">
      <c r="C256" s="159"/>
      <c r="D256" s="165" t="s">
        <v>281</v>
      </c>
      <c r="E256" s="161">
        <v>39083</v>
      </c>
      <c r="F256" s="172" t="str">
        <f t="shared" si="11"/>
        <v>2006-07</v>
      </c>
      <c r="G256" s="68"/>
      <c r="H256" s="167" t="s">
        <v>293</v>
      </c>
      <c r="I256" s="173">
        <v>20414.77563211487</v>
      </c>
      <c r="J256" s="168">
        <f>IFERROR(MIN('MP Calculations'!$E$30/I256,1),"-")</f>
        <v>0.40513348981719682</v>
      </c>
      <c r="K256" s="12"/>
      <c r="L256" s="159">
        <v>3.6000139999999998</v>
      </c>
      <c r="M256" s="159" t="s">
        <v>294</v>
      </c>
      <c r="N256" s="159">
        <v>350</v>
      </c>
      <c r="O256" s="185">
        <f t="shared" si="10"/>
        <v>1260.0048999999999</v>
      </c>
      <c r="P256" s="215">
        <f t="shared" si="12"/>
        <v>510.47018232376809</v>
      </c>
      <c r="Q256" s="215" cm="1">
        <f t="array" ref="Q256">IF(P256="-",0,P256/(1+'General inputs'!$H$32)^IFERROR(INDEX('MP Calculations'!$C$40:$C$130,MATCH(F256,'MP Calculations'!$D$40:$D$130,0),0),-1))</f>
        <v>985.94770969172646</v>
      </c>
    </row>
    <row r="257" spans="3:17">
      <c r="C257" s="159"/>
      <c r="D257" s="165" t="s">
        <v>281</v>
      </c>
      <c r="E257" s="161">
        <v>39083</v>
      </c>
      <c r="F257" s="172" t="str">
        <f t="shared" si="11"/>
        <v>2006-07</v>
      </c>
      <c r="G257" s="68"/>
      <c r="H257" s="167" t="s">
        <v>293</v>
      </c>
      <c r="I257" s="173">
        <v>20414.77563211487</v>
      </c>
      <c r="J257" s="168">
        <f>IFERROR(MIN('MP Calculations'!$E$30/I257,1),"-")</f>
        <v>0.40513348981719682</v>
      </c>
      <c r="K257" s="12"/>
      <c r="L257" s="159">
        <v>0.149482</v>
      </c>
      <c r="M257" s="159" t="s">
        <v>294</v>
      </c>
      <c r="N257" s="159">
        <v>350</v>
      </c>
      <c r="O257" s="185">
        <f t="shared" ref="O257:O320" si="13">IF(N257="","-",L257*N257)</f>
        <v>52.3187</v>
      </c>
      <c r="P257" s="215">
        <f t="shared" si="12"/>
        <v>21.196057513698975</v>
      </c>
      <c r="Q257" s="215" cm="1">
        <f t="array" ref="Q257">IF(P257="-",0,P257/(1+'General inputs'!$H$32)^IFERROR(INDEX('MP Calculations'!$C$40:$C$130,MATCH(F257,'MP Calculations'!$D$40:$D$130,0),0),-1))</f>
        <v>40.939128442316793</v>
      </c>
    </row>
    <row r="258" spans="3:17">
      <c r="C258" s="159"/>
      <c r="D258" s="165" t="s">
        <v>281</v>
      </c>
      <c r="E258" s="161">
        <v>39083</v>
      </c>
      <c r="F258" s="172" t="str">
        <f t="shared" si="11"/>
        <v>2006-07</v>
      </c>
      <c r="G258" s="68"/>
      <c r="H258" s="167" t="s">
        <v>293</v>
      </c>
      <c r="I258" s="173">
        <v>20414.77563211487</v>
      </c>
      <c r="J258" s="168">
        <f>IFERROR(MIN('MP Calculations'!$E$30/I258,1),"-")</f>
        <v>0.40513348981719682</v>
      </c>
      <c r="K258" s="12"/>
      <c r="L258" s="159">
        <v>28.889969000000001</v>
      </c>
      <c r="M258" s="159" t="s">
        <v>294</v>
      </c>
      <c r="N258" s="159">
        <v>350</v>
      </c>
      <c r="O258" s="185">
        <f t="shared" si="13"/>
        <v>10111.489149999999</v>
      </c>
      <c r="P258" s="215">
        <f t="shared" si="12"/>
        <v>4096.5028865882214</v>
      </c>
      <c r="Q258" s="215" cm="1">
        <f t="array" ref="Q258">IF(P258="-",0,P258/(1+'General inputs'!$H$32)^IFERROR(INDEX('MP Calculations'!$C$40:$C$130,MATCH(F258,'MP Calculations'!$D$40:$D$130,0),0),-1))</f>
        <v>7912.1911105387308</v>
      </c>
    </row>
    <row r="259" spans="3:17">
      <c r="C259" s="159"/>
      <c r="D259" s="165" t="s">
        <v>281</v>
      </c>
      <c r="E259" s="161">
        <v>39083</v>
      </c>
      <c r="F259" s="172" t="str">
        <f t="shared" si="11"/>
        <v>2006-07</v>
      </c>
      <c r="G259" s="68"/>
      <c r="H259" s="167" t="s">
        <v>293</v>
      </c>
      <c r="I259" s="173">
        <v>20414.77563211487</v>
      </c>
      <c r="J259" s="168">
        <f>IFERROR(MIN('MP Calculations'!$E$30/I259,1),"-")</f>
        <v>0.40513348981719682</v>
      </c>
      <c r="K259" s="12"/>
      <c r="L259" s="159">
        <v>57.774886000000002</v>
      </c>
      <c r="M259" s="159" t="s">
        <v>294</v>
      </c>
      <c r="N259" s="159">
        <v>350</v>
      </c>
      <c r="O259" s="185">
        <f t="shared" si="13"/>
        <v>20221.2101</v>
      </c>
      <c r="P259" s="215">
        <f t="shared" si="12"/>
        <v>8192.2894161397471</v>
      </c>
      <c r="Q259" s="215" cm="1">
        <f t="array" ref="Q259">IF(P259="-",0,P259/(1+'General inputs'!$H$32)^IFERROR(INDEX('MP Calculations'!$C$40:$C$130,MATCH(F259,'MP Calculations'!$D$40:$D$130,0),0),-1))</f>
        <v>15822.998613172223</v>
      </c>
    </row>
    <row r="260" spans="3:17">
      <c r="C260" s="159"/>
      <c r="D260" s="165" t="s">
        <v>281</v>
      </c>
      <c r="E260" s="161">
        <v>39083</v>
      </c>
      <c r="F260" s="172" t="str">
        <f t="shared" si="11"/>
        <v>2006-07</v>
      </c>
      <c r="G260" s="68"/>
      <c r="H260" s="167" t="s">
        <v>293</v>
      </c>
      <c r="I260" s="173">
        <v>20414.77563211487</v>
      </c>
      <c r="J260" s="168">
        <f>IFERROR(MIN('MP Calculations'!$E$30/I260,1),"-")</f>
        <v>0.40513348981719682</v>
      </c>
      <c r="K260" s="12"/>
      <c r="L260" s="159">
        <v>366.42722800000001</v>
      </c>
      <c r="M260" s="159" t="s">
        <v>294</v>
      </c>
      <c r="N260" s="159">
        <v>350</v>
      </c>
      <c r="O260" s="185">
        <f t="shared" si="13"/>
        <v>128249.5298</v>
      </c>
      <c r="P260" s="215">
        <f t="shared" si="12"/>
        <v>51958.179575288581</v>
      </c>
      <c r="Q260" s="215" cm="1">
        <f t="array" ref="Q260">IF(P260="-",0,P260/(1+'General inputs'!$H$32)^IFERROR(INDEX('MP Calculations'!$C$40:$C$130,MATCH(F260,'MP Calculations'!$D$40:$D$130,0),0),-1))</f>
        <v>100354.63368067126</v>
      </c>
    </row>
    <row r="261" spans="3:17">
      <c r="C261" s="159"/>
      <c r="D261" s="165" t="s">
        <v>281</v>
      </c>
      <c r="E261" s="161">
        <v>39083</v>
      </c>
      <c r="F261" s="172" t="str">
        <f t="shared" si="11"/>
        <v>2006-07</v>
      </c>
      <c r="G261" s="68"/>
      <c r="H261" s="167" t="s">
        <v>293</v>
      </c>
      <c r="I261" s="173">
        <v>20414.77563211487</v>
      </c>
      <c r="J261" s="168">
        <f>IFERROR(MIN('MP Calculations'!$E$30/I261,1),"-")</f>
        <v>0.40513348981719682</v>
      </c>
      <c r="K261" s="12"/>
      <c r="L261" s="159">
        <v>0.20492199999999999</v>
      </c>
      <c r="M261" s="159" t="s">
        <v>294</v>
      </c>
      <c r="N261" s="159">
        <v>350</v>
      </c>
      <c r="O261" s="185">
        <f t="shared" si="13"/>
        <v>71.722700000000003</v>
      </c>
      <c r="P261" s="215">
        <f t="shared" si="12"/>
        <v>29.057267750111865</v>
      </c>
      <c r="Q261" s="215" cm="1">
        <f t="array" ref="Q261">IF(P261="-",0,P261/(1+'General inputs'!$H$32)^IFERROR(INDEX('MP Calculations'!$C$40:$C$130,MATCH(F261,'MP Calculations'!$D$40:$D$130,0),0),-1))</f>
        <v>56.122664124486178</v>
      </c>
    </row>
    <row r="262" spans="3:17">
      <c r="C262" s="159"/>
      <c r="D262" s="165" t="s">
        <v>281</v>
      </c>
      <c r="E262" s="161">
        <v>39253</v>
      </c>
      <c r="F262" s="172" t="str">
        <f t="shared" si="11"/>
        <v>2006-07</v>
      </c>
      <c r="G262" s="68"/>
      <c r="H262" s="167" t="s">
        <v>293</v>
      </c>
      <c r="I262" s="173">
        <v>20414.77563211487</v>
      </c>
      <c r="J262" s="168">
        <f>IFERROR(MIN('MP Calculations'!$E$30/I262,1),"-")</f>
        <v>0.40513348981719682</v>
      </c>
      <c r="K262" s="12"/>
      <c r="L262" s="159">
        <v>69.079742999999993</v>
      </c>
      <c r="M262" s="159" t="s">
        <v>294</v>
      </c>
      <c r="N262" s="159">
        <v>350</v>
      </c>
      <c r="O262" s="185">
        <f t="shared" si="13"/>
        <v>24177.910049999999</v>
      </c>
      <c r="P262" s="215">
        <f t="shared" si="12"/>
        <v>9795.2810750427743</v>
      </c>
      <c r="Q262" s="215" cm="1">
        <f t="array" ref="Q262">IF(P262="-",0,P262/(1+'General inputs'!$H$32)^IFERROR(INDEX('MP Calculations'!$C$40:$C$130,MATCH(F262,'MP Calculations'!$D$40:$D$130,0),0),-1))</f>
        <v>18919.097091551052</v>
      </c>
    </row>
    <row r="263" spans="3:17">
      <c r="C263" s="159"/>
      <c r="D263" s="165" t="s">
        <v>281</v>
      </c>
      <c r="E263" s="161">
        <v>39253</v>
      </c>
      <c r="F263" s="172" t="str">
        <f t="shared" si="11"/>
        <v>2006-07</v>
      </c>
      <c r="G263" s="68"/>
      <c r="H263" s="167" t="s">
        <v>293</v>
      </c>
      <c r="I263" s="173">
        <v>20414.77563211487</v>
      </c>
      <c r="J263" s="168">
        <f>IFERROR(MIN('MP Calculations'!$E$30/I263,1),"-")</f>
        <v>0.40513348981719682</v>
      </c>
      <c r="K263" s="12"/>
      <c r="L263" s="159">
        <v>75.432811999999998</v>
      </c>
      <c r="M263" s="159" t="s">
        <v>294</v>
      </c>
      <c r="N263" s="159">
        <v>350</v>
      </c>
      <c r="O263" s="185">
        <f t="shared" si="13"/>
        <v>26401.484199999999</v>
      </c>
      <c r="P263" s="215">
        <f t="shared" si="12"/>
        <v>10696.125430299582</v>
      </c>
      <c r="Q263" s="215" cm="1">
        <f t="array" ref="Q263">IF(P263="-",0,P263/(1+'General inputs'!$H$32)^IFERROR(INDEX('MP Calculations'!$C$40:$C$130,MATCH(F263,'MP Calculations'!$D$40:$D$130,0),0),-1))</f>
        <v>20659.033055706612</v>
      </c>
    </row>
    <row r="264" spans="3:17">
      <c r="C264" s="159"/>
      <c r="D264" s="165" t="s">
        <v>281</v>
      </c>
      <c r="E264" s="161">
        <v>39253</v>
      </c>
      <c r="F264" s="172" t="str">
        <f t="shared" si="11"/>
        <v>2006-07</v>
      </c>
      <c r="G264" s="68"/>
      <c r="H264" s="167" t="s">
        <v>293</v>
      </c>
      <c r="I264" s="173">
        <v>20414.77563211487</v>
      </c>
      <c r="J264" s="168">
        <f>IFERROR(MIN('MP Calculations'!$E$30/I264,1),"-")</f>
        <v>0.40513348981719682</v>
      </c>
      <c r="K264" s="12"/>
      <c r="L264" s="159">
        <v>15.911845</v>
      </c>
      <c r="M264" s="159" t="s">
        <v>294</v>
      </c>
      <c r="N264" s="159">
        <v>350</v>
      </c>
      <c r="O264" s="185">
        <f t="shared" si="13"/>
        <v>5569.1457499999997</v>
      </c>
      <c r="P264" s="215">
        <f t="shared" si="12"/>
        <v>2256.24745299811</v>
      </c>
      <c r="Q264" s="215" cm="1">
        <f t="array" ref="Q264">IF(P264="-",0,P264/(1+'General inputs'!$H$32)^IFERROR(INDEX('MP Calculations'!$C$40:$C$130,MATCH(F264,'MP Calculations'!$D$40:$D$130,0),0),-1))</f>
        <v>4357.8294791963999</v>
      </c>
    </row>
    <row r="265" spans="3:17">
      <c r="C265" s="159"/>
      <c r="D265" s="165" t="s">
        <v>281</v>
      </c>
      <c r="E265" s="161">
        <v>39253</v>
      </c>
      <c r="F265" s="172" t="str">
        <f t="shared" si="11"/>
        <v>2006-07</v>
      </c>
      <c r="G265" s="68"/>
      <c r="H265" s="167" t="s">
        <v>293</v>
      </c>
      <c r="I265" s="173">
        <v>20414.77563211487</v>
      </c>
      <c r="J265" s="168">
        <f>IFERROR(MIN('MP Calculations'!$E$30/I265,1),"-")</f>
        <v>0.40513348981719682</v>
      </c>
      <c r="K265" s="12"/>
      <c r="L265" s="159">
        <v>0.241033</v>
      </c>
      <c r="M265" s="159" t="s">
        <v>294</v>
      </c>
      <c r="N265" s="159">
        <v>350</v>
      </c>
      <c r="O265" s="185">
        <f t="shared" si="13"/>
        <v>84.361549999999994</v>
      </c>
      <c r="P265" s="215">
        <f t="shared" si="12"/>
        <v>34.17768915788794</v>
      </c>
      <c r="Q265" s="215" cm="1">
        <f t="array" ref="Q265">IF(P265="-",0,P265/(1+'General inputs'!$H$32)^IFERROR(INDEX('MP Calculations'!$C$40:$C$130,MATCH(F265,'MP Calculations'!$D$40:$D$130,0),0),-1))</f>
        <v>66.012502815301801</v>
      </c>
    </row>
    <row r="266" spans="3:17">
      <c r="C266" s="159"/>
      <c r="D266" s="165" t="s">
        <v>281</v>
      </c>
      <c r="E266" s="161">
        <v>39253</v>
      </c>
      <c r="F266" s="172" t="str">
        <f t="shared" si="11"/>
        <v>2006-07</v>
      </c>
      <c r="G266" s="68"/>
      <c r="H266" s="167" t="s">
        <v>293</v>
      </c>
      <c r="I266" s="173">
        <v>20414.77563211487</v>
      </c>
      <c r="J266" s="168">
        <f>IFERROR(MIN('MP Calculations'!$E$30/I266,1),"-")</f>
        <v>0.40513348981719682</v>
      </c>
      <c r="K266" s="12"/>
      <c r="L266" s="159">
        <v>1.2424269999999999</v>
      </c>
      <c r="M266" s="159" t="s">
        <v>294</v>
      </c>
      <c r="N266" s="159">
        <v>350</v>
      </c>
      <c r="O266" s="185">
        <f t="shared" si="13"/>
        <v>434.84944999999999</v>
      </c>
      <c r="P266" s="215">
        <f t="shared" si="12"/>
        <v>176.17207522358865</v>
      </c>
      <c r="Q266" s="215" cm="1">
        <f t="array" ref="Q266">IF(P266="-",0,P266/(1+'General inputs'!$H$32)^IFERROR(INDEX('MP Calculations'!$C$40:$C$130,MATCH(F266,'MP Calculations'!$D$40:$D$130,0),0),-1))</f>
        <v>340.26758093417493</v>
      </c>
    </row>
    <row r="267" spans="3:17">
      <c r="C267" s="159"/>
      <c r="D267" s="165" t="s">
        <v>281</v>
      </c>
      <c r="E267" s="161">
        <v>39253</v>
      </c>
      <c r="F267" s="172" t="str">
        <f t="shared" si="11"/>
        <v>2006-07</v>
      </c>
      <c r="G267" s="68"/>
      <c r="H267" s="167" t="s">
        <v>293</v>
      </c>
      <c r="I267" s="173">
        <v>20414.77563211487</v>
      </c>
      <c r="J267" s="168">
        <f>IFERROR(MIN('MP Calculations'!$E$30/I267,1),"-")</f>
        <v>0.40513348981719682</v>
      </c>
      <c r="K267" s="12"/>
      <c r="L267" s="159">
        <v>1.2014260000000001</v>
      </c>
      <c r="M267" s="159" t="s">
        <v>294</v>
      </c>
      <c r="N267" s="159">
        <v>350</v>
      </c>
      <c r="O267" s="185">
        <f t="shared" si="13"/>
        <v>420.49910000000006</v>
      </c>
      <c r="P267" s="215">
        <f t="shared" si="12"/>
        <v>170.35826784799045</v>
      </c>
      <c r="Q267" s="215" cm="1">
        <f t="array" ref="Q267">IF(P267="-",0,P267/(1+'General inputs'!$H$32)^IFERROR(INDEX('MP Calculations'!$C$40:$C$130,MATCH(F267,'MP Calculations'!$D$40:$D$130,0),0),-1))</f>
        <v>329.03850181251858</v>
      </c>
    </row>
    <row r="268" spans="3:17">
      <c r="C268" s="159"/>
      <c r="D268" s="165" t="s">
        <v>281</v>
      </c>
      <c r="E268" s="161">
        <v>39253</v>
      </c>
      <c r="F268" s="172" t="str">
        <f t="shared" si="11"/>
        <v>2006-07</v>
      </c>
      <c r="G268" s="68"/>
      <c r="H268" s="167" t="s">
        <v>293</v>
      </c>
      <c r="I268" s="173">
        <v>20414.77563211487</v>
      </c>
      <c r="J268" s="168">
        <f>IFERROR(MIN('MP Calculations'!$E$30/I268,1),"-")</f>
        <v>0.40513348981719682</v>
      </c>
      <c r="K268" s="12"/>
      <c r="L268" s="159">
        <v>64.614755000000002</v>
      </c>
      <c r="M268" s="159" t="s">
        <v>294</v>
      </c>
      <c r="N268" s="159">
        <v>350</v>
      </c>
      <c r="O268" s="185">
        <f t="shared" si="13"/>
        <v>22615.164250000002</v>
      </c>
      <c r="P268" s="215">
        <f t="shared" si="12"/>
        <v>9162.1604153916087</v>
      </c>
      <c r="Q268" s="215" cm="1">
        <f t="array" ref="Q268">IF(P268="-",0,P268/(1+'General inputs'!$H$32)^IFERROR(INDEX('MP Calculations'!$C$40:$C$130,MATCH(F268,'MP Calculations'!$D$40:$D$130,0),0),-1))</f>
        <v>17696.256099154623</v>
      </c>
    </row>
    <row r="269" spans="3:17">
      <c r="C269" s="159"/>
      <c r="D269" s="165" t="s">
        <v>281</v>
      </c>
      <c r="E269" s="161">
        <v>39253</v>
      </c>
      <c r="F269" s="172" t="str">
        <f t="shared" si="11"/>
        <v>2006-07</v>
      </c>
      <c r="G269" s="68"/>
      <c r="H269" s="167" t="s">
        <v>293</v>
      </c>
      <c r="I269" s="173">
        <v>20414.77563211487</v>
      </c>
      <c r="J269" s="168">
        <f>IFERROR(MIN('MP Calculations'!$E$30/I269,1),"-")</f>
        <v>0.40513348981719682</v>
      </c>
      <c r="K269" s="12"/>
      <c r="L269" s="159">
        <v>31.545893</v>
      </c>
      <c r="M269" s="159" t="s">
        <v>294</v>
      </c>
      <c r="N269" s="159">
        <v>350</v>
      </c>
      <c r="O269" s="185">
        <f t="shared" si="13"/>
        <v>11041.062550000001</v>
      </c>
      <c r="P269" s="215">
        <f t="shared" si="12"/>
        <v>4473.1042021714584</v>
      </c>
      <c r="Q269" s="215" cm="1">
        <f t="array" ref="Q269">IF(P269="-",0,P269/(1+'General inputs'!$H$32)^IFERROR(INDEX('MP Calculations'!$C$40:$C$130,MATCH(F269,'MP Calculations'!$D$40:$D$130,0),0),-1))</f>
        <v>8639.5777776226059</v>
      </c>
    </row>
    <row r="270" spans="3:17">
      <c r="C270" s="159"/>
      <c r="D270" s="165" t="s">
        <v>281</v>
      </c>
      <c r="E270" s="161">
        <v>39253</v>
      </c>
      <c r="F270" s="172" t="str">
        <f t="shared" si="11"/>
        <v>2006-07</v>
      </c>
      <c r="G270" s="68"/>
      <c r="H270" s="167" t="s">
        <v>293</v>
      </c>
      <c r="I270" s="173">
        <v>20414.77563211487</v>
      </c>
      <c r="J270" s="168">
        <f>IFERROR(MIN('MP Calculations'!$E$30/I270,1),"-")</f>
        <v>0.40513348981719682</v>
      </c>
      <c r="K270" s="12"/>
      <c r="L270" s="159">
        <v>0.84509199999999995</v>
      </c>
      <c r="M270" s="159" t="s">
        <v>294</v>
      </c>
      <c r="N270" s="159">
        <v>350</v>
      </c>
      <c r="O270" s="185">
        <f t="shared" si="13"/>
        <v>295.78219999999999</v>
      </c>
      <c r="P270" s="215">
        <f t="shared" si="12"/>
        <v>119.83127491180807</v>
      </c>
      <c r="Q270" s="215" cm="1">
        <f t="array" ref="Q270">IF(P270="-",0,P270/(1+'General inputs'!$H$32)^IFERROR(INDEX('MP Calculations'!$C$40:$C$130,MATCH(F270,'MP Calculations'!$D$40:$D$130,0),0),-1))</f>
        <v>231.44813377914653</v>
      </c>
    </row>
    <row r="271" spans="3:17">
      <c r="C271" s="159"/>
      <c r="D271" s="165" t="s">
        <v>281</v>
      </c>
      <c r="E271" s="161">
        <v>39253</v>
      </c>
      <c r="F271" s="172" t="str">
        <f t="shared" si="11"/>
        <v>2006-07</v>
      </c>
      <c r="G271" s="68"/>
      <c r="H271" s="167" t="s">
        <v>293</v>
      </c>
      <c r="I271" s="173">
        <v>20414.77563211487</v>
      </c>
      <c r="J271" s="168">
        <f>IFERROR(MIN('MP Calculations'!$E$30/I271,1),"-")</f>
        <v>0.40513348981719682</v>
      </c>
      <c r="K271" s="12"/>
      <c r="L271" s="159">
        <v>78.184039999999996</v>
      </c>
      <c r="M271" s="159" t="s">
        <v>294</v>
      </c>
      <c r="N271" s="159">
        <v>350</v>
      </c>
      <c r="O271" s="185">
        <f t="shared" si="13"/>
        <v>27364.413999999997</v>
      </c>
      <c r="P271" s="215">
        <f t="shared" si="12"/>
        <v>11086.240540622557</v>
      </c>
      <c r="Q271" s="215" cm="1">
        <f t="array" ref="Q271">IF(P271="-",0,P271/(1+'General inputs'!$H$32)^IFERROR(INDEX('MP Calculations'!$C$40:$C$130,MATCH(F271,'MP Calculations'!$D$40:$D$130,0),0),-1))</f>
        <v>21412.520943653642</v>
      </c>
    </row>
    <row r="272" spans="3:17">
      <c r="C272" s="159"/>
      <c r="D272" s="165" t="s">
        <v>281</v>
      </c>
      <c r="E272" s="161">
        <v>39253</v>
      </c>
      <c r="F272" s="172" t="str">
        <f t="shared" si="11"/>
        <v>2006-07</v>
      </c>
      <c r="G272" s="68"/>
      <c r="H272" s="167" t="s">
        <v>293</v>
      </c>
      <c r="I272" s="173">
        <v>20414.77563211487</v>
      </c>
      <c r="J272" s="168">
        <f>IFERROR(MIN('MP Calculations'!$E$30/I272,1),"-")</f>
        <v>0.40513348981719682</v>
      </c>
      <c r="K272" s="12"/>
      <c r="L272" s="159">
        <v>13.399533999999999</v>
      </c>
      <c r="M272" s="159" t="s">
        <v>294</v>
      </c>
      <c r="N272" s="159">
        <v>350</v>
      </c>
      <c r="O272" s="185">
        <f t="shared" si="13"/>
        <v>4689.8368999999993</v>
      </c>
      <c r="P272" s="215">
        <f t="shared" si="12"/>
        <v>1900.0099899704637</v>
      </c>
      <c r="Q272" s="215" cm="1">
        <f t="array" ref="Q272">IF(P272="-",0,P272/(1+'General inputs'!$H$32)^IFERROR(INDEX('MP Calculations'!$C$40:$C$130,MATCH(F272,'MP Calculations'!$D$40:$D$130,0),0),-1))</f>
        <v>3669.774578164534</v>
      </c>
    </row>
    <row r="273" spans="3:17">
      <c r="C273" s="159"/>
      <c r="D273" s="165" t="s">
        <v>281</v>
      </c>
      <c r="E273" s="161">
        <v>39253</v>
      </c>
      <c r="F273" s="172" t="str">
        <f t="shared" si="11"/>
        <v>2006-07</v>
      </c>
      <c r="G273" s="68"/>
      <c r="H273" s="167" t="s">
        <v>293</v>
      </c>
      <c r="I273" s="173">
        <v>20414.77563211487</v>
      </c>
      <c r="J273" s="168">
        <f>IFERROR(MIN('MP Calculations'!$E$30/I273,1),"-")</f>
        <v>0.40513348981719682</v>
      </c>
      <c r="K273" s="12"/>
      <c r="L273" s="159">
        <v>26.298489</v>
      </c>
      <c r="M273" s="159" t="s">
        <v>294</v>
      </c>
      <c r="N273" s="159">
        <v>350</v>
      </c>
      <c r="O273" s="185">
        <f t="shared" si="13"/>
        <v>9204.4711499999994</v>
      </c>
      <c r="P273" s="215">
        <f t="shared" si="12"/>
        <v>3729.0395189212068</v>
      </c>
      <c r="Q273" s="215" cm="1">
        <f t="array" ref="Q273">IF(P273="-",0,P273/(1+'General inputs'!$H$32)^IFERROR(INDEX('MP Calculations'!$C$40:$C$130,MATCH(F273,'MP Calculations'!$D$40:$D$130,0),0),-1))</f>
        <v>7202.4539343188835</v>
      </c>
    </row>
    <row r="274" spans="3:17">
      <c r="C274" s="159"/>
      <c r="D274" s="165" t="s">
        <v>281</v>
      </c>
      <c r="E274" s="161">
        <v>39253</v>
      </c>
      <c r="F274" s="172" t="str">
        <f t="shared" si="11"/>
        <v>2006-07</v>
      </c>
      <c r="G274" s="68"/>
      <c r="H274" s="167" t="s">
        <v>293</v>
      </c>
      <c r="I274" s="173">
        <v>20414.77563211487</v>
      </c>
      <c r="J274" s="168">
        <f>IFERROR(MIN('MP Calculations'!$E$30/I274,1),"-")</f>
        <v>0.40513348981719682</v>
      </c>
      <c r="K274" s="12"/>
      <c r="L274" s="159">
        <v>6.9039570000000001</v>
      </c>
      <c r="M274" s="159" t="s">
        <v>294</v>
      </c>
      <c r="N274" s="159">
        <v>350</v>
      </c>
      <c r="O274" s="185">
        <f t="shared" si="13"/>
        <v>2416.3849500000001</v>
      </c>
      <c r="P274" s="215">
        <f t="shared" si="12"/>
        <v>978.95846753525268</v>
      </c>
      <c r="Q274" s="215" cm="1">
        <f t="array" ref="Q274">IF(P274="-",0,P274/(1+'General inputs'!$H$32)^IFERROR(INDEX('MP Calculations'!$C$40:$C$130,MATCH(F274,'MP Calculations'!$D$40:$D$130,0),0),-1))</f>
        <v>1890.8094779520754</v>
      </c>
    </row>
    <row r="275" spans="3:17">
      <c r="C275" s="159"/>
      <c r="D275" s="165" t="s">
        <v>281</v>
      </c>
      <c r="E275" s="161">
        <v>39253</v>
      </c>
      <c r="F275" s="172" t="str">
        <f t="shared" si="11"/>
        <v>2006-07</v>
      </c>
      <c r="G275" s="68"/>
      <c r="H275" s="167" t="s">
        <v>293</v>
      </c>
      <c r="I275" s="173">
        <v>20414.77563211487</v>
      </c>
      <c r="J275" s="168">
        <f>IFERROR(MIN('MP Calculations'!$E$30/I275,1),"-")</f>
        <v>0.40513348981719682</v>
      </c>
      <c r="K275" s="12"/>
      <c r="L275" s="159">
        <v>1.739822</v>
      </c>
      <c r="M275" s="159" t="s">
        <v>294</v>
      </c>
      <c r="N275" s="159">
        <v>350</v>
      </c>
      <c r="O275" s="185">
        <f t="shared" si="13"/>
        <v>608.93769999999995</v>
      </c>
      <c r="P275" s="215">
        <f t="shared" si="12"/>
        <v>246.70105548225723</v>
      </c>
      <c r="Q275" s="215" cm="1">
        <f t="array" ref="Q275">IF(P275="-",0,P275/(1+'General inputs'!$H$32)^IFERROR(INDEX('MP Calculations'!$C$40:$C$130,MATCH(F275,'MP Calculations'!$D$40:$D$130,0),0),-1))</f>
        <v>476.49079036117047</v>
      </c>
    </row>
    <row r="276" spans="3:17">
      <c r="C276" s="159"/>
      <c r="D276" s="165" t="s">
        <v>281</v>
      </c>
      <c r="E276" s="161">
        <v>39253</v>
      </c>
      <c r="F276" s="172" t="str">
        <f t="shared" si="11"/>
        <v>2006-07</v>
      </c>
      <c r="G276" s="68"/>
      <c r="H276" s="167" t="s">
        <v>293</v>
      </c>
      <c r="I276" s="173">
        <v>20414.77563211487</v>
      </c>
      <c r="J276" s="168">
        <f>IFERROR(MIN('MP Calculations'!$E$30/I276,1),"-")</f>
        <v>0.40513348981719682</v>
      </c>
      <c r="K276" s="12"/>
      <c r="L276" s="159">
        <v>0.277721</v>
      </c>
      <c r="M276" s="159" t="s">
        <v>294</v>
      </c>
      <c r="N276" s="159">
        <v>350</v>
      </c>
      <c r="O276" s="185">
        <f t="shared" si="13"/>
        <v>97.202349999999996</v>
      </c>
      <c r="P276" s="215">
        <f t="shared" si="12"/>
        <v>39.379927273932601</v>
      </c>
      <c r="Q276" s="215" cm="1">
        <f t="array" ref="Q276">IF(P276="-",0,P276/(1+'General inputs'!$H$32)^IFERROR(INDEX('MP Calculations'!$C$40:$C$130,MATCH(F276,'MP Calculations'!$D$40:$D$130,0),0),-1))</f>
        <v>76.060366399490661</v>
      </c>
    </row>
    <row r="277" spans="3:17">
      <c r="C277" s="159"/>
      <c r="D277" s="165" t="s">
        <v>281</v>
      </c>
      <c r="E277" s="161">
        <v>39253</v>
      </c>
      <c r="F277" s="172" t="str">
        <f t="shared" si="11"/>
        <v>2006-07</v>
      </c>
      <c r="G277" s="68"/>
      <c r="H277" s="167" t="s">
        <v>293</v>
      </c>
      <c r="I277" s="173">
        <v>20414.77563211487</v>
      </c>
      <c r="J277" s="168">
        <f>IFERROR(MIN('MP Calculations'!$E$30/I277,1),"-")</f>
        <v>0.40513348981719682</v>
      </c>
      <c r="K277" s="12"/>
      <c r="L277" s="159">
        <v>38.804530999999997</v>
      </c>
      <c r="M277" s="159" t="s">
        <v>294</v>
      </c>
      <c r="N277" s="159">
        <v>350</v>
      </c>
      <c r="O277" s="185">
        <f t="shared" si="13"/>
        <v>13581.585849999999</v>
      </c>
      <c r="P277" s="215">
        <f t="shared" si="12"/>
        <v>5502.3552726623593</v>
      </c>
      <c r="Q277" s="215" cm="1">
        <f t="array" ref="Q277">IF(P277="-",0,P277/(1+'General inputs'!$H$32)^IFERROR(INDEX('MP Calculations'!$C$40:$C$130,MATCH(F277,'MP Calculations'!$D$40:$D$130,0),0),-1))</f>
        <v>10627.524911045235</v>
      </c>
    </row>
    <row r="278" spans="3:17">
      <c r="C278" s="159"/>
      <c r="D278" s="165" t="s">
        <v>281</v>
      </c>
      <c r="E278" s="161">
        <v>39253</v>
      </c>
      <c r="F278" s="172" t="str">
        <f t="shared" ref="F278:F341" si="14">IF(E278="","-",IF(OR(E278&lt;$E$15,E278&gt;$E$16),"ERROR - date outside of range",IF(MONTH(E278)&gt;=7,YEAR(E278)&amp;"-"&amp;IF(YEAR(E278)=1999,"00",IF(AND(YEAR(E278)&gt;=2000,YEAR(E278)&lt;2009),"0","")&amp;RIGHT(YEAR(E278),2)+1),RIGHT(YEAR(E278),4)-1&amp;"-"&amp;RIGHT(YEAR(E278),2))))</f>
        <v>2006-07</v>
      </c>
      <c r="G278" s="68"/>
      <c r="H278" s="167" t="s">
        <v>293</v>
      </c>
      <c r="I278" s="173">
        <v>20414.77563211487</v>
      </c>
      <c r="J278" s="168">
        <f>IFERROR(MIN('MP Calculations'!$E$30/I278,1),"-")</f>
        <v>0.40513348981719682</v>
      </c>
      <c r="K278" s="12"/>
      <c r="L278" s="159">
        <v>27.413179</v>
      </c>
      <c r="M278" s="159" t="s">
        <v>294</v>
      </c>
      <c r="N278" s="159">
        <v>350</v>
      </c>
      <c r="O278" s="185">
        <f t="shared" si="13"/>
        <v>9594.6126499999991</v>
      </c>
      <c r="P278" s="215">
        <f t="shared" si="12"/>
        <v>3887.0989063387224</v>
      </c>
      <c r="Q278" s="215" cm="1">
        <f t="array" ref="Q278">IF(P278="-",0,P278/(1+'General inputs'!$H$32)^IFERROR(INDEX('MP Calculations'!$C$40:$C$130,MATCH(F278,'MP Calculations'!$D$40:$D$130,0),0),-1))</f>
        <v>7507.737761691852</v>
      </c>
    </row>
    <row r="279" spans="3:17">
      <c r="C279" s="159"/>
      <c r="D279" s="165" t="s">
        <v>281</v>
      </c>
      <c r="E279" s="161">
        <v>39253</v>
      </c>
      <c r="F279" s="172" t="str">
        <f t="shared" si="14"/>
        <v>2006-07</v>
      </c>
      <c r="G279" s="68"/>
      <c r="H279" s="167" t="s">
        <v>293</v>
      </c>
      <c r="I279" s="173">
        <v>20414.77563211487</v>
      </c>
      <c r="J279" s="168">
        <f>IFERROR(MIN('MP Calculations'!$E$30/I279,1),"-")</f>
        <v>0.40513348981719682</v>
      </c>
      <c r="K279" s="12"/>
      <c r="L279" s="159">
        <v>65.712953999999996</v>
      </c>
      <c r="M279" s="159" t="s">
        <v>294</v>
      </c>
      <c r="N279" s="159">
        <v>350</v>
      </c>
      <c r="O279" s="185">
        <f t="shared" si="13"/>
        <v>22999.533899999999</v>
      </c>
      <c r="P279" s="215">
        <f t="shared" ref="P279:P342" si="15">IF(O279="-","-",IF(OR(E279&lt;$E$15,E279&gt;$E$16),0,O279*J279))</f>
        <v>9317.8814330759233</v>
      </c>
      <c r="Q279" s="215" cm="1">
        <f t="array" ref="Q279">IF(P279="-",0,P279/(1+'General inputs'!$H$32)^IFERROR(INDEX('MP Calculations'!$C$40:$C$130,MATCH(F279,'MP Calculations'!$D$40:$D$130,0),0),-1))</f>
        <v>17997.023481958066</v>
      </c>
    </row>
    <row r="280" spans="3:17">
      <c r="C280" s="159"/>
      <c r="D280" s="165" t="s">
        <v>281</v>
      </c>
      <c r="E280" s="161">
        <v>39253</v>
      </c>
      <c r="F280" s="172" t="str">
        <f t="shared" si="14"/>
        <v>2006-07</v>
      </c>
      <c r="G280" s="68"/>
      <c r="H280" s="167" t="s">
        <v>293</v>
      </c>
      <c r="I280" s="173">
        <v>20414.77563211487</v>
      </c>
      <c r="J280" s="168">
        <f>IFERROR(MIN('MP Calculations'!$E$30/I280,1),"-")</f>
        <v>0.40513348981719682</v>
      </c>
      <c r="K280" s="12"/>
      <c r="L280" s="159">
        <v>11.29819</v>
      </c>
      <c r="M280" s="159" t="s">
        <v>294</v>
      </c>
      <c r="N280" s="159">
        <v>350</v>
      </c>
      <c r="O280" s="185">
        <f t="shared" si="13"/>
        <v>3954.3665000000001</v>
      </c>
      <c r="P280" s="215">
        <f t="shared" si="15"/>
        <v>1602.0463001612143</v>
      </c>
      <c r="Q280" s="215" cm="1">
        <f t="array" ref="Q280">IF(P280="-",0,P280/(1+'General inputs'!$H$32)^IFERROR(INDEX('MP Calculations'!$C$40:$C$130,MATCH(F280,'MP Calculations'!$D$40:$D$130,0),0),-1))</f>
        <v>3094.2725650961265</v>
      </c>
    </row>
    <row r="281" spans="3:17">
      <c r="C281" s="159"/>
      <c r="D281" s="165" t="s">
        <v>281</v>
      </c>
      <c r="E281" s="161">
        <v>39253</v>
      </c>
      <c r="F281" s="172" t="str">
        <f t="shared" si="14"/>
        <v>2006-07</v>
      </c>
      <c r="G281" s="68"/>
      <c r="H281" s="167" t="s">
        <v>293</v>
      </c>
      <c r="I281" s="173">
        <v>20414.77563211487</v>
      </c>
      <c r="J281" s="168">
        <f>IFERROR(MIN('MP Calculations'!$E$30/I281,1),"-")</f>
        <v>0.40513348981719682</v>
      </c>
      <c r="K281" s="12"/>
      <c r="L281" s="159">
        <v>0.25726599999999999</v>
      </c>
      <c r="M281" s="159" t="s">
        <v>294</v>
      </c>
      <c r="N281" s="159">
        <v>350</v>
      </c>
      <c r="O281" s="185">
        <f t="shared" si="13"/>
        <v>90.043099999999995</v>
      </c>
      <c r="P281" s="215">
        <f t="shared" si="15"/>
        <v>36.479475336958835</v>
      </c>
      <c r="Q281" s="215" cm="1">
        <f t="array" ref="Q281">IF(P281="-",0,P281/(1+'General inputs'!$H$32)^IFERROR(INDEX('MP Calculations'!$C$40:$C$130,MATCH(F281,'MP Calculations'!$D$40:$D$130,0),0),-1))</f>
        <v>70.458288073755185</v>
      </c>
    </row>
    <row r="282" spans="3:17">
      <c r="C282" s="159"/>
      <c r="D282" s="165" t="s">
        <v>281</v>
      </c>
      <c r="E282" s="161">
        <v>39253</v>
      </c>
      <c r="F282" s="172" t="str">
        <f t="shared" si="14"/>
        <v>2006-07</v>
      </c>
      <c r="G282" s="68"/>
      <c r="H282" s="167" t="s">
        <v>293</v>
      </c>
      <c r="I282" s="173">
        <v>20414.77563211487</v>
      </c>
      <c r="J282" s="168">
        <f>IFERROR(MIN('MP Calculations'!$E$30/I282,1),"-")</f>
        <v>0.40513348981719682</v>
      </c>
      <c r="K282" s="12"/>
      <c r="L282" s="159">
        <v>24.644863999999998</v>
      </c>
      <c r="M282" s="159" t="s">
        <v>294</v>
      </c>
      <c r="N282" s="159">
        <v>350</v>
      </c>
      <c r="O282" s="185">
        <f t="shared" si="13"/>
        <v>8625.7024000000001</v>
      </c>
      <c r="P282" s="215">
        <f t="shared" si="15"/>
        <v>3494.5609154365702</v>
      </c>
      <c r="Q282" s="215" cm="1">
        <f t="array" ref="Q282">IF(P282="-",0,P282/(1+'General inputs'!$H$32)^IFERROR(INDEX('MP Calculations'!$C$40:$C$130,MATCH(F282,'MP Calculations'!$D$40:$D$130,0),0),-1))</f>
        <v>6749.5702006892425</v>
      </c>
    </row>
    <row r="283" spans="3:17">
      <c r="C283" s="159"/>
      <c r="D283" s="165" t="s">
        <v>281</v>
      </c>
      <c r="E283" s="161">
        <v>39253</v>
      </c>
      <c r="F283" s="172" t="str">
        <f t="shared" si="14"/>
        <v>2006-07</v>
      </c>
      <c r="G283" s="68"/>
      <c r="H283" s="167" t="s">
        <v>293</v>
      </c>
      <c r="I283" s="173">
        <v>20414.77563211487</v>
      </c>
      <c r="J283" s="168">
        <f>IFERROR(MIN('MP Calculations'!$E$30/I283,1),"-")</f>
        <v>0.40513348981719682</v>
      </c>
      <c r="K283" s="12"/>
      <c r="L283" s="159">
        <v>73.539657000000005</v>
      </c>
      <c r="M283" s="159" t="s">
        <v>294</v>
      </c>
      <c r="N283" s="159">
        <v>350</v>
      </c>
      <c r="O283" s="185">
        <f t="shared" si="13"/>
        <v>25738.879950000002</v>
      </c>
      <c r="P283" s="215">
        <f t="shared" si="15"/>
        <v>10427.682258129378</v>
      </c>
      <c r="Q283" s="215" cm="1">
        <f t="array" ref="Q283">IF(P283="-",0,P283/(1+'General inputs'!$H$32)^IFERROR(INDEX('MP Calculations'!$C$40:$C$130,MATCH(F283,'MP Calculations'!$D$40:$D$130,0),0),-1))</f>
        <v>20140.548450829679</v>
      </c>
    </row>
    <row r="284" spans="3:17">
      <c r="C284" s="159"/>
      <c r="D284" s="165" t="s">
        <v>281</v>
      </c>
      <c r="E284" s="161">
        <v>39253</v>
      </c>
      <c r="F284" s="172" t="str">
        <f t="shared" si="14"/>
        <v>2006-07</v>
      </c>
      <c r="G284" s="68"/>
      <c r="H284" s="167" t="s">
        <v>293</v>
      </c>
      <c r="I284" s="173">
        <v>20414.77563211487</v>
      </c>
      <c r="J284" s="168">
        <f>IFERROR(MIN('MP Calculations'!$E$30/I284,1),"-")</f>
        <v>0.40513348981719682</v>
      </c>
      <c r="K284" s="12"/>
      <c r="L284" s="159">
        <v>52.243195</v>
      </c>
      <c r="M284" s="159" t="s">
        <v>294</v>
      </c>
      <c r="N284" s="159">
        <v>350</v>
      </c>
      <c r="O284" s="185">
        <f t="shared" si="13"/>
        <v>18285.11825</v>
      </c>
      <c r="P284" s="215">
        <f t="shared" si="15"/>
        <v>7407.9137683426143</v>
      </c>
      <c r="Q284" s="215" cm="1">
        <f t="array" ref="Q284">IF(P284="-",0,P284/(1+'General inputs'!$H$32)^IFERROR(INDEX('MP Calculations'!$C$40:$C$130,MATCH(F284,'MP Calculations'!$D$40:$D$130,0),0),-1))</f>
        <v>14308.016151389482</v>
      </c>
    </row>
    <row r="285" spans="3:17">
      <c r="C285" s="159"/>
      <c r="D285" s="165" t="s">
        <v>281</v>
      </c>
      <c r="E285" s="161">
        <v>39253</v>
      </c>
      <c r="F285" s="172" t="str">
        <f t="shared" si="14"/>
        <v>2006-07</v>
      </c>
      <c r="G285" s="68"/>
      <c r="H285" s="167" t="s">
        <v>293</v>
      </c>
      <c r="I285" s="173">
        <v>20414.77563211487</v>
      </c>
      <c r="J285" s="168">
        <f>IFERROR(MIN('MP Calculations'!$E$30/I285,1),"-")</f>
        <v>0.40513348981719682</v>
      </c>
      <c r="K285" s="12"/>
      <c r="L285" s="159">
        <v>0.27135999999999999</v>
      </c>
      <c r="M285" s="159" t="s">
        <v>294</v>
      </c>
      <c r="N285" s="159">
        <v>350</v>
      </c>
      <c r="O285" s="185">
        <f t="shared" si="13"/>
        <v>94.975999999999999</v>
      </c>
      <c r="P285" s="215">
        <f t="shared" si="15"/>
        <v>38.477958328878088</v>
      </c>
      <c r="Q285" s="215" cm="1">
        <f t="array" ref="Q285">IF(P285="-",0,P285/(1+'General inputs'!$H$32)^IFERROR(INDEX('MP Calculations'!$C$40:$C$130,MATCH(F285,'MP Calculations'!$D$40:$D$130,0),0),-1))</f>
        <v>74.318258346202796</v>
      </c>
    </row>
    <row r="286" spans="3:17">
      <c r="C286" s="159"/>
      <c r="D286" s="165" t="s">
        <v>302</v>
      </c>
      <c r="E286" s="161">
        <v>39263</v>
      </c>
      <c r="F286" s="172" t="str">
        <f t="shared" si="14"/>
        <v>2006-07</v>
      </c>
      <c r="G286" s="68"/>
      <c r="H286" s="167" t="s">
        <v>293</v>
      </c>
      <c r="I286" s="173">
        <v>20414.77563211487</v>
      </c>
      <c r="J286" s="168">
        <f>IFERROR(MIN('MP Calculations'!$E$30/I286,1),"-")</f>
        <v>0.40513348981719682</v>
      </c>
      <c r="K286" s="12"/>
      <c r="L286" s="159">
        <v>1</v>
      </c>
      <c r="M286" s="159" t="s">
        <v>295</v>
      </c>
      <c r="N286" s="159">
        <v>2111.83</v>
      </c>
      <c r="O286" s="185">
        <f t="shared" si="13"/>
        <v>2111.83</v>
      </c>
      <c r="P286" s="215">
        <f t="shared" si="15"/>
        <v>855.57305780065076</v>
      </c>
      <c r="Q286" s="215" cm="1">
        <f t="array" ref="Q286">IF(P286="-",0,P286/(1+'General inputs'!$H$32)^IFERROR(INDEX('MP Calculations'!$C$40:$C$130,MATCH(F286,'MP Calculations'!$D$40:$D$130,0),0),-1))</f>
        <v>1652.4967099400001</v>
      </c>
    </row>
    <row r="287" spans="3:17">
      <c r="C287" s="159"/>
      <c r="D287" s="165" t="s">
        <v>281</v>
      </c>
      <c r="E287" s="161">
        <v>39302</v>
      </c>
      <c r="F287" s="172" t="str">
        <f t="shared" si="14"/>
        <v>2007-08</v>
      </c>
      <c r="G287" s="68"/>
      <c r="H287" s="167" t="s">
        <v>293</v>
      </c>
      <c r="I287" s="173">
        <v>20414.77563211487</v>
      </c>
      <c r="J287" s="168">
        <f>IFERROR(MIN('MP Calculations'!$E$30/I287,1),"-")</f>
        <v>0.40513348981719682</v>
      </c>
      <c r="K287" s="12"/>
      <c r="L287" s="159">
        <v>149.615115</v>
      </c>
      <c r="M287" s="159" t="s">
        <v>294</v>
      </c>
      <c r="N287" s="159">
        <v>350</v>
      </c>
      <c r="O287" s="185">
        <f t="shared" si="13"/>
        <v>52365.290249999998</v>
      </c>
      <c r="P287" s="215">
        <f t="shared" si="15"/>
        <v>21214.932784272929</v>
      </c>
      <c r="Q287" s="215" cm="1">
        <f t="array" ref="Q287">IF(P287="-",0,P287/(1+'General inputs'!$H$32)^IFERROR(INDEX('MP Calculations'!$C$40:$C$130,MATCH(F287,'MP Calculations'!$D$40:$D$130,0),0),-1))</f>
        <v>39323.978010056264</v>
      </c>
    </row>
    <row r="288" spans="3:17">
      <c r="C288" s="159"/>
      <c r="D288" s="165" t="s">
        <v>281</v>
      </c>
      <c r="E288" s="161">
        <v>39302</v>
      </c>
      <c r="F288" s="172" t="str">
        <f t="shared" si="14"/>
        <v>2007-08</v>
      </c>
      <c r="G288" s="68"/>
      <c r="H288" s="167" t="s">
        <v>293</v>
      </c>
      <c r="I288" s="173">
        <v>20414.77563211487</v>
      </c>
      <c r="J288" s="168">
        <f>IFERROR(MIN('MP Calculations'!$E$30/I288,1),"-")</f>
        <v>0.40513348981719682</v>
      </c>
      <c r="K288" s="12"/>
      <c r="L288" s="159">
        <v>167.59352899999999</v>
      </c>
      <c r="M288" s="159" t="s">
        <v>294</v>
      </c>
      <c r="N288" s="159">
        <v>350</v>
      </c>
      <c r="O288" s="185">
        <f t="shared" si="13"/>
        <v>58657.735149999993</v>
      </c>
      <c r="P288" s="215">
        <f t="shared" si="15"/>
        <v>23764.21294609235</v>
      </c>
      <c r="Q288" s="215" cm="1">
        <f t="array" ref="Q288">IF(P288="-",0,P288/(1+'General inputs'!$H$32)^IFERROR(INDEX('MP Calculations'!$C$40:$C$130,MATCH(F288,'MP Calculations'!$D$40:$D$130,0),0),-1))</f>
        <v>44049.321146621623</v>
      </c>
    </row>
    <row r="289" spans="3:17">
      <c r="C289" s="159"/>
      <c r="D289" s="165" t="s">
        <v>281</v>
      </c>
      <c r="E289" s="161">
        <v>39302</v>
      </c>
      <c r="F289" s="172" t="str">
        <f t="shared" si="14"/>
        <v>2007-08</v>
      </c>
      <c r="G289" s="68"/>
      <c r="H289" s="167" t="s">
        <v>293</v>
      </c>
      <c r="I289" s="173">
        <v>20414.77563211487</v>
      </c>
      <c r="J289" s="168">
        <f>IFERROR(MIN('MP Calculations'!$E$30/I289,1),"-")</f>
        <v>0.40513348981719682</v>
      </c>
      <c r="K289" s="12"/>
      <c r="L289" s="159">
        <v>232.091982</v>
      </c>
      <c r="M289" s="159" t="s">
        <v>294</v>
      </c>
      <c r="N289" s="159">
        <v>350</v>
      </c>
      <c r="O289" s="185">
        <f t="shared" si="13"/>
        <v>81232.193700000003</v>
      </c>
      <c r="P289" s="215">
        <f t="shared" si="15"/>
        <v>32909.88211918751</v>
      </c>
      <c r="Q289" s="215" cm="1">
        <f t="array" ref="Q289">IF(P289="-",0,P289/(1+'General inputs'!$H$32)^IFERROR(INDEX('MP Calculations'!$C$40:$C$130,MATCH(F289,'MP Calculations'!$D$40:$D$130,0),0),-1))</f>
        <v>61001.724300906193</v>
      </c>
    </row>
    <row r="290" spans="3:17">
      <c r="C290" s="159"/>
      <c r="D290" s="165" t="s">
        <v>281</v>
      </c>
      <c r="E290" s="161">
        <v>39302</v>
      </c>
      <c r="F290" s="172" t="str">
        <f t="shared" si="14"/>
        <v>2007-08</v>
      </c>
      <c r="G290" s="68"/>
      <c r="H290" s="167" t="s">
        <v>293</v>
      </c>
      <c r="I290" s="173">
        <v>20414.77563211487</v>
      </c>
      <c r="J290" s="168">
        <f>IFERROR(MIN('MP Calculations'!$E$30/I290,1),"-")</f>
        <v>0.40513348981719682</v>
      </c>
      <c r="K290" s="12"/>
      <c r="L290" s="159">
        <v>0.593283</v>
      </c>
      <c r="M290" s="159" t="s">
        <v>294</v>
      </c>
      <c r="N290" s="159">
        <v>350</v>
      </c>
      <c r="O290" s="185">
        <f t="shared" si="13"/>
        <v>207.64904999999999</v>
      </c>
      <c r="P290" s="215">
        <f t="shared" si="15"/>
        <v>84.125584283725587</v>
      </c>
      <c r="Q290" s="215" cm="1">
        <f t="array" ref="Q290">IF(P290="-",0,P290/(1+'General inputs'!$H$32)^IFERROR(INDEX('MP Calculations'!$C$40:$C$130,MATCH(F290,'MP Calculations'!$D$40:$D$130,0),0),-1))</f>
        <v>155.93509817333771</v>
      </c>
    </row>
    <row r="291" spans="3:17">
      <c r="C291" s="159"/>
      <c r="D291" s="165" t="s">
        <v>281</v>
      </c>
      <c r="E291" s="161">
        <v>39302</v>
      </c>
      <c r="F291" s="172" t="str">
        <f t="shared" si="14"/>
        <v>2007-08</v>
      </c>
      <c r="G291" s="68"/>
      <c r="H291" s="167" t="s">
        <v>293</v>
      </c>
      <c r="I291" s="173">
        <v>20414.77563211487</v>
      </c>
      <c r="J291" s="168">
        <f>IFERROR(MIN('MP Calculations'!$E$30/I291,1),"-")</f>
        <v>0.40513348981719682</v>
      </c>
      <c r="K291" s="12"/>
      <c r="L291" s="159">
        <v>107.69999199999999</v>
      </c>
      <c r="M291" s="159" t="s">
        <v>294</v>
      </c>
      <c r="N291" s="159">
        <v>350</v>
      </c>
      <c r="O291" s="185">
        <f t="shared" si="13"/>
        <v>37694.997199999998</v>
      </c>
      <c r="P291" s="215">
        <f t="shared" si="15"/>
        <v>15271.505764285463</v>
      </c>
      <c r="Q291" s="215" cm="1">
        <f t="array" ref="Q291">IF(P291="-",0,P291/(1+'General inputs'!$H$32)^IFERROR(INDEX('MP Calculations'!$C$40:$C$130,MATCH(F291,'MP Calculations'!$D$40:$D$130,0),0),-1))</f>
        <v>28307.247680765646</v>
      </c>
    </row>
    <row r="292" spans="3:17">
      <c r="C292" s="159"/>
      <c r="D292" s="165" t="s">
        <v>281</v>
      </c>
      <c r="E292" s="161">
        <v>39302</v>
      </c>
      <c r="F292" s="172" t="str">
        <f t="shared" si="14"/>
        <v>2007-08</v>
      </c>
      <c r="G292" s="68"/>
      <c r="H292" s="167" t="s">
        <v>293</v>
      </c>
      <c r="I292" s="173">
        <v>20414.77563211487</v>
      </c>
      <c r="J292" s="168">
        <f>IFERROR(MIN('MP Calculations'!$E$30/I292,1),"-")</f>
        <v>0.40513348981719682</v>
      </c>
      <c r="K292" s="12"/>
      <c r="L292" s="159">
        <v>119.91595700000001</v>
      </c>
      <c r="M292" s="159" t="s">
        <v>294</v>
      </c>
      <c r="N292" s="159">
        <v>350</v>
      </c>
      <c r="O292" s="185">
        <f t="shared" si="13"/>
        <v>41970.584950000004</v>
      </c>
      <c r="P292" s="215">
        <f t="shared" si="15"/>
        <v>17003.689550462619</v>
      </c>
      <c r="Q292" s="215" cm="1">
        <f t="array" ref="Q292">IF(P292="-",0,P292/(1+'General inputs'!$H$32)^IFERROR(INDEX('MP Calculations'!$C$40:$C$130,MATCH(F292,'MP Calculations'!$D$40:$D$130,0),0),-1))</f>
        <v>31518.021799621332</v>
      </c>
    </row>
    <row r="293" spans="3:17">
      <c r="C293" s="159"/>
      <c r="D293" s="165" t="s">
        <v>281</v>
      </c>
      <c r="E293" s="161">
        <v>39302</v>
      </c>
      <c r="F293" s="172" t="str">
        <f t="shared" si="14"/>
        <v>2007-08</v>
      </c>
      <c r="G293" s="68"/>
      <c r="H293" s="167" t="s">
        <v>293</v>
      </c>
      <c r="I293" s="173">
        <v>20414.77563211487</v>
      </c>
      <c r="J293" s="168">
        <f>IFERROR(MIN('MP Calculations'!$E$30/I293,1),"-")</f>
        <v>0.40513348981719682</v>
      </c>
      <c r="K293" s="12"/>
      <c r="L293" s="159">
        <v>124.79657400000001</v>
      </c>
      <c r="M293" s="159" t="s">
        <v>294</v>
      </c>
      <c r="N293" s="159">
        <v>350</v>
      </c>
      <c r="O293" s="185">
        <f t="shared" si="13"/>
        <v>43678.800900000002</v>
      </c>
      <c r="P293" s="215">
        <f t="shared" si="15"/>
        <v>17695.745039647518</v>
      </c>
      <c r="Q293" s="215" cm="1">
        <f t="array" ref="Q293">IF(P293="-",0,P293/(1+'General inputs'!$H$32)^IFERROR(INDEX('MP Calculations'!$C$40:$C$130,MATCH(F293,'MP Calculations'!$D$40:$D$130,0),0),-1))</f>
        <v>32800.815156318662</v>
      </c>
    </row>
    <row r="294" spans="3:17">
      <c r="C294" s="159"/>
      <c r="D294" s="165" t="s">
        <v>281</v>
      </c>
      <c r="E294" s="161">
        <v>39302</v>
      </c>
      <c r="F294" s="172" t="str">
        <f t="shared" si="14"/>
        <v>2007-08</v>
      </c>
      <c r="G294" s="68"/>
      <c r="H294" s="167" t="s">
        <v>293</v>
      </c>
      <c r="I294" s="173">
        <v>20414.77563211487</v>
      </c>
      <c r="J294" s="168">
        <f>IFERROR(MIN('MP Calculations'!$E$30/I294,1),"-")</f>
        <v>0.40513348981719682</v>
      </c>
      <c r="K294" s="12"/>
      <c r="L294" s="159">
        <v>95.437648999999993</v>
      </c>
      <c r="M294" s="159" t="s">
        <v>294</v>
      </c>
      <c r="N294" s="159">
        <v>350</v>
      </c>
      <c r="O294" s="185">
        <f t="shared" si="13"/>
        <v>33403.177149999996</v>
      </c>
      <c r="P294" s="215">
        <f t="shared" si="15"/>
        <v>13532.745729761546</v>
      </c>
      <c r="Q294" s="215" cm="1">
        <f t="array" ref="Q294">IF(P294="-",0,P294/(1+'General inputs'!$H$32)^IFERROR(INDEX('MP Calculations'!$C$40:$C$130,MATCH(F294,'MP Calculations'!$D$40:$D$130,0),0),-1))</f>
        <v>25084.283834607671</v>
      </c>
    </row>
    <row r="295" spans="3:17">
      <c r="C295" s="159"/>
      <c r="D295" s="165" t="s">
        <v>281</v>
      </c>
      <c r="E295" s="161">
        <v>39302</v>
      </c>
      <c r="F295" s="172" t="str">
        <f t="shared" si="14"/>
        <v>2007-08</v>
      </c>
      <c r="G295" s="68"/>
      <c r="H295" s="167" t="s">
        <v>293</v>
      </c>
      <c r="I295" s="173">
        <v>20414.77563211487</v>
      </c>
      <c r="J295" s="168">
        <f>IFERROR(MIN('MP Calculations'!$E$30/I295,1),"-")</f>
        <v>0.40513348981719682</v>
      </c>
      <c r="K295" s="12"/>
      <c r="L295" s="159">
        <v>190.557985</v>
      </c>
      <c r="M295" s="159" t="s">
        <v>294</v>
      </c>
      <c r="N295" s="159">
        <v>350</v>
      </c>
      <c r="O295" s="185">
        <f t="shared" si="13"/>
        <v>66695.294750000001</v>
      </c>
      <c r="P295" s="215">
        <f t="shared" si="15"/>
        <v>27020.497516454066</v>
      </c>
      <c r="Q295" s="215" cm="1">
        <f t="array" ref="Q295">IF(P295="-",0,P295/(1+'General inputs'!$H$32)^IFERROR(INDEX('MP Calculations'!$C$40:$C$130,MATCH(F295,'MP Calculations'!$D$40:$D$130,0),0),-1))</f>
        <v>50085.166941726653</v>
      </c>
    </row>
    <row r="296" spans="3:17">
      <c r="C296" s="159"/>
      <c r="D296" s="165" t="s">
        <v>281</v>
      </c>
      <c r="E296" s="161">
        <v>39302</v>
      </c>
      <c r="F296" s="172" t="str">
        <f t="shared" si="14"/>
        <v>2007-08</v>
      </c>
      <c r="G296" s="68"/>
      <c r="H296" s="167" t="s">
        <v>293</v>
      </c>
      <c r="I296" s="173">
        <v>20414.77563211487</v>
      </c>
      <c r="J296" s="168">
        <f>IFERROR(MIN('MP Calculations'!$E$30/I296,1),"-")</f>
        <v>0.40513348981719682</v>
      </c>
      <c r="K296" s="12"/>
      <c r="L296" s="159">
        <v>129.64961299999999</v>
      </c>
      <c r="M296" s="159" t="s">
        <v>294</v>
      </c>
      <c r="N296" s="159">
        <v>350</v>
      </c>
      <c r="O296" s="185">
        <f t="shared" si="13"/>
        <v>45377.364549999998</v>
      </c>
      <c r="P296" s="215">
        <f t="shared" si="15"/>
        <v>18383.890058848654</v>
      </c>
      <c r="Q296" s="215" cm="1">
        <f t="array" ref="Q296">IF(P296="-",0,P296/(1+'General inputs'!$H$32)^IFERROR(INDEX('MP Calculations'!$C$40:$C$130,MATCH(F296,'MP Calculations'!$D$40:$D$130,0),0),-1))</f>
        <v>34076.360069798466</v>
      </c>
    </row>
    <row r="297" spans="3:17">
      <c r="C297" s="159"/>
      <c r="D297" s="165" t="s">
        <v>281</v>
      </c>
      <c r="E297" s="161">
        <v>39302</v>
      </c>
      <c r="F297" s="172" t="str">
        <f t="shared" si="14"/>
        <v>2007-08</v>
      </c>
      <c r="G297" s="68"/>
      <c r="H297" s="167" t="s">
        <v>293</v>
      </c>
      <c r="I297" s="173">
        <v>20414.77563211487</v>
      </c>
      <c r="J297" s="168">
        <f>IFERROR(MIN('MP Calculations'!$E$30/I297,1),"-")</f>
        <v>0.40513348981719682</v>
      </c>
      <c r="K297" s="12"/>
      <c r="L297" s="159">
        <v>0.60137300000000005</v>
      </c>
      <c r="M297" s="159" t="s">
        <v>294</v>
      </c>
      <c r="N297" s="159">
        <v>350</v>
      </c>
      <c r="O297" s="185">
        <f t="shared" si="13"/>
        <v>210.48055000000002</v>
      </c>
      <c r="P297" s="215">
        <f t="shared" si="15"/>
        <v>85.272719760142991</v>
      </c>
      <c r="Q297" s="215" cm="1">
        <f t="array" ref="Q297">IF(P297="-",0,P297/(1+'General inputs'!$H$32)^IFERROR(INDEX('MP Calculations'!$C$40:$C$130,MATCH(F297,'MP Calculations'!$D$40:$D$130,0),0),-1))</f>
        <v>158.06142733534355</v>
      </c>
    </row>
    <row r="298" spans="3:17">
      <c r="C298" s="159"/>
      <c r="D298" s="165" t="s">
        <v>281</v>
      </c>
      <c r="E298" s="161">
        <v>39302</v>
      </c>
      <c r="F298" s="172" t="str">
        <f t="shared" si="14"/>
        <v>2007-08</v>
      </c>
      <c r="G298" s="68"/>
      <c r="H298" s="167" t="s">
        <v>293</v>
      </c>
      <c r="I298" s="173">
        <v>20414.77563211487</v>
      </c>
      <c r="J298" s="168">
        <f>IFERROR(MIN('MP Calculations'!$E$30/I298,1),"-")</f>
        <v>0.40513348981719682</v>
      </c>
      <c r="K298" s="12"/>
      <c r="L298" s="159">
        <v>0.60035400000000005</v>
      </c>
      <c r="M298" s="159" t="s">
        <v>294</v>
      </c>
      <c r="N298" s="159">
        <v>350</v>
      </c>
      <c r="O298" s="185">
        <f t="shared" si="13"/>
        <v>210.12390000000002</v>
      </c>
      <c r="P298" s="215">
        <f t="shared" si="15"/>
        <v>85.128228900999687</v>
      </c>
      <c r="Q298" s="215" cm="1">
        <f t="array" ref="Q298">IF(P298="-",0,P298/(1+'General inputs'!$H$32)^IFERROR(INDEX('MP Calculations'!$C$40:$C$130,MATCH(F298,'MP Calculations'!$D$40:$D$130,0),0),-1))</f>
        <v>157.79359922457914</v>
      </c>
    </row>
    <row r="299" spans="3:17">
      <c r="C299" s="159"/>
      <c r="D299" s="165" t="s">
        <v>281</v>
      </c>
      <c r="E299" s="161">
        <v>39302</v>
      </c>
      <c r="F299" s="172" t="str">
        <f t="shared" si="14"/>
        <v>2007-08</v>
      </c>
      <c r="G299" s="68"/>
      <c r="H299" s="167" t="s">
        <v>293</v>
      </c>
      <c r="I299" s="173">
        <v>20414.77563211487</v>
      </c>
      <c r="J299" s="168">
        <f>IFERROR(MIN('MP Calculations'!$E$30/I299,1),"-")</f>
        <v>0.40513348981719682</v>
      </c>
      <c r="K299" s="12"/>
      <c r="L299" s="159">
        <v>0.451708</v>
      </c>
      <c r="M299" s="159" t="s">
        <v>294</v>
      </c>
      <c r="N299" s="159">
        <v>350</v>
      </c>
      <c r="O299" s="185">
        <f t="shared" si="13"/>
        <v>158.09780000000001</v>
      </c>
      <c r="P299" s="215">
        <f t="shared" si="15"/>
        <v>64.050713446421227</v>
      </c>
      <c r="Q299" s="215" cm="1">
        <f t="array" ref="Q299">IF(P299="-",0,P299/(1+'General inputs'!$H$32)^IFERROR(INDEX('MP Calculations'!$C$40:$C$130,MATCH(F299,'MP Calculations'!$D$40:$D$130,0),0),-1))</f>
        <v>118.72433783823578</v>
      </c>
    </row>
    <row r="300" spans="3:17">
      <c r="C300" s="159"/>
      <c r="D300" s="165" t="s">
        <v>281</v>
      </c>
      <c r="E300" s="161">
        <v>39302</v>
      </c>
      <c r="F300" s="172" t="str">
        <f t="shared" si="14"/>
        <v>2007-08</v>
      </c>
      <c r="G300" s="68"/>
      <c r="H300" s="167" t="s">
        <v>293</v>
      </c>
      <c r="I300" s="173">
        <v>20414.77563211487</v>
      </c>
      <c r="J300" s="168">
        <f>IFERROR(MIN('MP Calculations'!$E$30/I300,1),"-")</f>
        <v>0.40513348981719682</v>
      </c>
      <c r="K300" s="12"/>
      <c r="L300" s="159">
        <v>119.754192</v>
      </c>
      <c r="M300" s="159" t="s">
        <v>294</v>
      </c>
      <c r="N300" s="159">
        <v>350</v>
      </c>
      <c r="O300" s="185">
        <f t="shared" si="13"/>
        <v>41913.967199999999</v>
      </c>
      <c r="P300" s="215">
        <f t="shared" si="15"/>
        <v>16980.751803819523</v>
      </c>
      <c r="Q300" s="215" cm="1">
        <f t="array" ref="Q300">IF(P300="-",0,P300/(1+'General inputs'!$H$32)^IFERROR(INDEX('MP Calculations'!$C$40:$C$130,MATCH(F300,'MP Calculations'!$D$40:$D$130,0),0),-1))</f>
        <v>31475.504415580312</v>
      </c>
    </row>
    <row r="301" spans="3:17">
      <c r="C301" s="159"/>
      <c r="D301" s="165" t="s">
        <v>281</v>
      </c>
      <c r="E301" s="161">
        <v>39302</v>
      </c>
      <c r="F301" s="172" t="str">
        <f t="shared" si="14"/>
        <v>2007-08</v>
      </c>
      <c r="G301" s="68"/>
      <c r="H301" s="167" t="s">
        <v>293</v>
      </c>
      <c r="I301" s="173">
        <v>20414.77563211487</v>
      </c>
      <c r="J301" s="168">
        <f>IFERROR(MIN('MP Calculations'!$E$30/I301,1),"-")</f>
        <v>0.40513348981719682</v>
      </c>
      <c r="K301" s="12"/>
      <c r="L301" s="159">
        <v>63.962803000000001</v>
      </c>
      <c r="M301" s="159" t="s">
        <v>294</v>
      </c>
      <c r="N301" s="159">
        <v>350</v>
      </c>
      <c r="O301" s="185">
        <f t="shared" si="13"/>
        <v>22386.981050000002</v>
      </c>
      <c r="P301" s="215">
        <f t="shared" si="15"/>
        <v>9069.7157592579533</v>
      </c>
      <c r="Q301" s="215" cm="1">
        <f t="array" ref="Q301">IF(P301="-",0,P301/(1+'General inputs'!$H$32)^IFERROR(INDEX('MP Calculations'!$C$40:$C$130,MATCH(F301,'MP Calculations'!$D$40:$D$130,0),0),-1))</f>
        <v>16811.615983007872</v>
      </c>
    </row>
    <row r="302" spans="3:17">
      <c r="C302" s="159"/>
      <c r="D302" s="165" t="s">
        <v>281</v>
      </c>
      <c r="E302" s="161">
        <v>39302</v>
      </c>
      <c r="F302" s="172" t="str">
        <f t="shared" si="14"/>
        <v>2007-08</v>
      </c>
      <c r="G302" s="68"/>
      <c r="H302" s="167" t="s">
        <v>293</v>
      </c>
      <c r="I302" s="173">
        <v>20414.77563211487</v>
      </c>
      <c r="J302" s="168">
        <f>IFERROR(MIN('MP Calculations'!$E$30/I302,1),"-")</f>
        <v>0.40513348981719682</v>
      </c>
      <c r="K302" s="12"/>
      <c r="L302" s="159">
        <v>108.275673</v>
      </c>
      <c r="M302" s="159" t="s">
        <v>294</v>
      </c>
      <c r="N302" s="159">
        <v>350</v>
      </c>
      <c r="O302" s="185">
        <f t="shared" si="13"/>
        <v>37896.485549999998</v>
      </c>
      <c r="P302" s="215">
        <f t="shared" si="15"/>
        <v>15353.135442678471</v>
      </c>
      <c r="Q302" s="215" cm="1">
        <f t="array" ref="Q302">IF(P302="-",0,P302/(1+'General inputs'!$H$32)^IFERROR(INDEX('MP Calculations'!$C$40:$C$130,MATCH(F302,'MP Calculations'!$D$40:$D$130,0),0),-1))</f>
        <v>28458.556370297498</v>
      </c>
    </row>
    <row r="303" spans="3:17">
      <c r="C303" s="159"/>
      <c r="D303" s="165" t="s">
        <v>281</v>
      </c>
      <c r="E303" s="161">
        <v>39302</v>
      </c>
      <c r="F303" s="172" t="str">
        <f t="shared" si="14"/>
        <v>2007-08</v>
      </c>
      <c r="G303" s="68"/>
      <c r="H303" s="167" t="s">
        <v>293</v>
      </c>
      <c r="I303" s="173">
        <v>20414.77563211487</v>
      </c>
      <c r="J303" s="168">
        <f>IFERROR(MIN('MP Calculations'!$E$30/I303,1),"-")</f>
        <v>0.40513348981719682</v>
      </c>
      <c r="K303" s="12"/>
      <c r="L303" s="159">
        <v>125.65351699999999</v>
      </c>
      <c r="M303" s="159" t="s">
        <v>294</v>
      </c>
      <c r="N303" s="159">
        <v>350</v>
      </c>
      <c r="O303" s="185">
        <f t="shared" si="13"/>
        <v>43978.730949999997</v>
      </c>
      <c r="P303" s="215">
        <f t="shared" si="15"/>
        <v>17817.256747505064</v>
      </c>
      <c r="Q303" s="215" cm="1">
        <f t="array" ref="Q303">IF(P303="-",0,P303/(1+'General inputs'!$H$32)^IFERROR(INDEX('MP Calculations'!$C$40:$C$130,MATCH(F303,'MP Calculations'!$D$40:$D$130,0),0),-1))</f>
        <v>33026.049135438159</v>
      </c>
    </row>
    <row r="304" spans="3:17">
      <c r="C304" s="159"/>
      <c r="D304" s="165" t="s">
        <v>281</v>
      </c>
      <c r="E304" s="161">
        <v>39302</v>
      </c>
      <c r="F304" s="172" t="str">
        <f t="shared" si="14"/>
        <v>2007-08</v>
      </c>
      <c r="G304" s="68"/>
      <c r="H304" s="167" t="s">
        <v>293</v>
      </c>
      <c r="I304" s="173">
        <v>20414.77563211487</v>
      </c>
      <c r="J304" s="168">
        <f>IFERROR(MIN('MP Calculations'!$E$30/I304,1),"-")</f>
        <v>0.40513348981719682</v>
      </c>
      <c r="K304" s="12"/>
      <c r="L304" s="159">
        <v>80.664000999999999</v>
      </c>
      <c r="M304" s="159" t="s">
        <v>294</v>
      </c>
      <c r="N304" s="159">
        <v>350</v>
      </c>
      <c r="O304" s="185">
        <f t="shared" si="13"/>
        <v>28232.40035</v>
      </c>
      <c r="P304" s="215">
        <f t="shared" si="15"/>
        <v>11437.890879711749</v>
      </c>
      <c r="Q304" s="215" cm="1">
        <f t="array" ref="Q304">IF(P304="-",0,P304/(1+'General inputs'!$H$32)^IFERROR(INDEX('MP Calculations'!$C$40:$C$130,MATCH(F304,'MP Calculations'!$D$40:$D$130,0),0),-1))</f>
        <v>21201.262997573183</v>
      </c>
    </row>
    <row r="305" spans="3:17">
      <c r="C305" s="159"/>
      <c r="D305" s="165" t="s">
        <v>281</v>
      </c>
      <c r="E305" s="161">
        <v>39302</v>
      </c>
      <c r="F305" s="172" t="str">
        <f t="shared" si="14"/>
        <v>2007-08</v>
      </c>
      <c r="G305" s="68"/>
      <c r="H305" s="167" t="s">
        <v>293</v>
      </c>
      <c r="I305" s="173">
        <v>20414.77563211487</v>
      </c>
      <c r="J305" s="168">
        <f>IFERROR(MIN('MP Calculations'!$E$30/I305,1),"-")</f>
        <v>0.40513348981719682</v>
      </c>
      <c r="K305" s="12"/>
      <c r="L305" s="159">
        <v>69.945599000000001</v>
      </c>
      <c r="M305" s="159" t="s">
        <v>294</v>
      </c>
      <c r="N305" s="159">
        <v>350</v>
      </c>
      <c r="O305" s="185">
        <f t="shared" si="13"/>
        <v>24480.959650000001</v>
      </c>
      <c r="P305" s="215">
        <f t="shared" si="15"/>
        <v>9918.0566170784823</v>
      </c>
      <c r="Q305" s="215" cm="1">
        <f t="array" ref="Q305">IF(P305="-",0,P305/(1+'General inputs'!$H$32)^IFERROR(INDEX('MP Calculations'!$C$40:$C$130,MATCH(F305,'MP Calculations'!$D$40:$D$130,0),0),-1))</f>
        <v>18384.099741367801</v>
      </c>
    </row>
    <row r="306" spans="3:17">
      <c r="C306" s="159"/>
      <c r="D306" s="165" t="s">
        <v>281</v>
      </c>
      <c r="E306" s="161">
        <v>39337</v>
      </c>
      <c r="F306" s="172" t="str">
        <f t="shared" si="14"/>
        <v>2007-08</v>
      </c>
      <c r="G306" s="68"/>
      <c r="H306" s="167" t="s">
        <v>293</v>
      </c>
      <c r="I306" s="173">
        <v>20414.77563211487</v>
      </c>
      <c r="J306" s="168">
        <f>IFERROR(MIN('MP Calculations'!$E$30/I306,1),"-")</f>
        <v>0.40513348981719682</v>
      </c>
      <c r="K306" s="12"/>
      <c r="L306" s="159">
        <v>0.39056800000000003</v>
      </c>
      <c r="M306" s="159" t="s">
        <v>294</v>
      </c>
      <c r="N306" s="159">
        <v>350</v>
      </c>
      <c r="O306" s="185">
        <f t="shared" si="13"/>
        <v>136.69880000000001</v>
      </c>
      <c r="P306" s="215">
        <f t="shared" si="15"/>
        <v>55.38126189782303</v>
      </c>
      <c r="Q306" s="215" cm="1">
        <f t="array" ref="Q306">IF(P306="-",0,P306/(1+'General inputs'!$H$32)^IFERROR(INDEX('MP Calculations'!$C$40:$C$130,MATCH(F306,'MP Calculations'!$D$40:$D$130,0),0),-1))</f>
        <v>102.65465119237221</v>
      </c>
    </row>
    <row r="307" spans="3:17">
      <c r="C307" s="159"/>
      <c r="D307" s="165" t="s">
        <v>281</v>
      </c>
      <c r="E307" s="161">
        <v>39337</v>
      </c>
      <c r="F307" s="172" t="str">
        <f t="shared" si="14"/>
        <v>2007-08</v>
      </c>
      <c r="G307" s="68"/>
      <c r="H307" s="167" t="s">
        <v>293</v>
      </c>
      <c r="I307" s="173">
        <v>20414.77563211487</v>
      </c>
      <c r="J307" s="168">
        <f>IFERROR(MIN('MP Calculations'!$E$30/I307,1),"-")</f>
        <v>0.40513348981719682</v>
      </c>
      <c r="K307" s="12"/>
      <c r="L307" s="159">
        <v>12.175784999999999</v>
      </c>
      <c r="M307" s="159" t="s">
        <v>294</v>
      </c>
      <c r="N307" s="159">
        <v>350</v>
      </c>
      <c r="O307" s="185">
        <f t="shared" si="13"/>
        <v>4261.5247499999996</v>
      </c>
      <c r="P307" s="215">
        <f t="shared" si="15"/>
        <v>1726.486393909857</v>
      </c>
      <c r="Q307" s="215" cm="1">
        <f t="array" ref="Q307">IF(P307="-",0,P307/(1+'General inputs'!$H$32)^IFERROR(INDEX('MP Calculations'!$C$40:$C$130,MATCH(F307,'MP Calculations'!$D$40:$D$130,0),0),-1))</f>
        <v>3200.2134382958088</v>
      </c>
    </row>
    <row r="308" spans="3:17">
      <c r="C308" s="159"/>
      <c r="D308" s="165" t="s">
        <v>281</v>
      </c>
      <c r="E308" s="161">
        <v>39337</v>
      </c>
      <c r="F308" s="172" t="str">
        <f t="shared" si="14"/>
        <v>2007-08</v>
      </c>
      <c r="G308" s="68"/>
      <c r="H308" s="167" t="s">
        <v>293</v>
      </c>
      <c r="I308" s="173">
        <v>20414.77563211487</v>
      </c>
      <c r="J308" s="168">
        <f>IFERROR(MIN('MP Calculations'!$E$30/I308,1),"-")</f>
        <v>0.40513348981719682</v>
      </c>
      <c r="K308" s="12"/>
      <c r="L308" s="159">
        <v>1.207692</v>
      </c>
      <c r="M308" s="159" t="s">
        <v>294</v>
      </c>
      <c r="N308" s="159">
        <v>350</v>
      </c>
      <c r="O308" s="185">
        <f t="shared" si="13"/>
        <v>422.69220000000001</v>
      </c>
      <c r="P308" s="215">
        <f t="shared" si="15"/>
        <v>171.24676610450854</v>
      </c>
      <c r="Q308" s="215" cm="1">
        <f t="array" ref="Q308">IF(P308="-",0,P308/(1+'General inputs'!$H$32)^IFERROR(INDEX('MP Calculations'!$C$40:$C$130,MATCH(F308,'MP Calculations'!$D$40:$D$130,0),0),-1))</f>
        <v>317.42283291979476</v>
      </c>
    </row>
    <row r="309" spans="3:17">
      <c r="C309" s="159"/>
      <c r="D309" s="165" t="s">
        <v>281</v>
      </c>
      <c r="E309" s="161">
        <v>39337</v>
      </c>
      <c r="F309" s="172" t="str">
        <f t="shared" si="14"/>
        <v>2007-08</v>
      </c>
      <c r="G309" s="68"/>
      <c r="H309" s="167" t="s">
        <v>293</v>
      </c>
      <c r="I309" s="173">
        <v>20414.77563211487</v>
      </c>
      <c r="J309" s="168">
        <f>IFERROR(MIN('MP Calculations'!$E$30/I309,1),"-")</f>
        <v>0.40513348981719682</v>
      </c>
      <c r="K309" s="12"/>
      <c r="L309" s="159">
        <v>61.903469999999999</v>
      </c>
      <c r="M309" s="159" t="s">
        <v>294</v>
      </c>
      <c r="N309" s="159">
        <v>350</v>
      </c>
      <c r="O309" s="185">
        <f t="shared" si="13"/>
        <v>21666.214499999998</v>
      </c>
      <c r="P309" s="215">
        <f t="shared" si="15"/>
        <v>8777.709091512952</v>
      </c>
      <c r="Q309" s="215" cm="1">
        <f t="array" ref="Q309">IF(P309="-",0,P309/(1+'General inputs'!$H$32)^IFERROR(INDEX('MP Calculations'!$C$40:$C$130,MATCH(F309,'MP Calculations'!$D$40:$D$130,0),0),-1))</f>
        <v>16270.352718214184</v>
      </c>
    </row>
    <row r="310" spans="3:17">
      <c r="C310" s="159"/>
      <c r="D310" s="165" t="s">
        <v>281</v>
      </c>
      <c r="E310" s="161">
        <v>39337</v>
      </c>
      <c r="F310" s="172" t="str">
        <f t="shared" si="14"/>
        <v>2007-08</v>
      </c>
      <c r="G310" s="68"/>
      <c r="H310" s="167" t="s">
        <v>293</v>
      </c>
      <c r="I310" s="173">
        <v>20414.77563211487</v>
      </c>
      <c r="J310" s="168">
        <f>IFERROR(MIN('MP Calculations'!$E$30/I310,1),"-")</f>
        <v>0.40513348981719682</v>
      </c>
      <c r="K310" s="12"/>
      <c r="L310" s="159">
        <v>56.972797</v>
      </c>
      <c r="M310" s="159" t="s">
        <v>294</v>
      </c>
      <c r="N310" s="159">
        <v>350</v>
      </c>
      <c r="O310" s="185">
        <f t="shared" si="13"/>
        <v>19940.478950000001</v>
      </c>
      <c r="P310" s="215">
        <f t="shared" si="15"/>
        <v>8078.5558256398526</v>
      </c>
      <c r="Q310" s="215" cm="1">
        <f t="array" ref="Q310">IF(P310="-",0,P310/(1+'General inputs'!$H$32)^IFERROR(INDEX('MP Calculations'!$C$40:$C$130,MATCH(F310,'MP Calculations'!$D$40:$D$130,0),0),-1))</f>
        <v>14974.402929806922</v>
      </c>
    </row>
    <row r="311" spans="3:17">
      <c r="C311" s="159"/>
      <c r="D311" s="165" t="s">
        <v>281</v>
      </c>
      <c r="E311" s="161">
        <v>39337</v>
      </c>
      <c r="F311" s="172" t="str">
        <f t="shared" si="14"/>
        <v>2007-08</v>
      </c>
      <c r="G311" s="68"/>
      <c r="H311" s="167" t="s">
        <v>293</v>
      </c>
      <c r="I311" s="173">
        <v>20414.77563211487</v>
      </c>
      <c r="J311" s="168">
        <f>IFERROR(MIN('MP Calculations'!$E$30/I311,1),"-")</f>
        <v>0.40513348981719682</v>
      </c>
      <c r="K311" s="12"/>
      <c r="L311" s="159">
        <v>62.096756999999997</v>
      </c>
      <c r="M311" s="159" t="s">
        <v>294</v>
      </c>
      <c r="N311" s="159">
        <v>350</v>
      </c>
      <c r="O311" s="185">
        <f t="shared" si="13"/>
        <v>21733.864949999999</v>
      </c>
      <c r="P311" s="215">
        <f t="shared" si="15"/>
        <v>8805.1165544091564</v>
      </c>
      <c r="Q311" s="215" cm="1">
        <f t="array" ref="Q311">IF(P311="-",0,P311/(1+'General inputs'!$H$32)^IFERROR(INDEX('MP Calculations'!$C$40:$C$130,MATCH(F311,'MP Calculations'!$D$40:$D$130,0),0),-1))</f>
        <v>16321.155163793495</v>
      </c>
    </row>
    <row r="312" spans="3:17">
      <c r="C312" s="159"/>
      <c r="D312" s="165" t="s">
        <v>281</v>
      </c>
      <c r="E312" s="161">
        <v>39337</v>
      </c>
      <c r="F312" s="172" t="str">
        <f t="shared" si="14"/>
        <v>2007-08</v>
      </c>
      <c r="G312" s="68"/>
      <c r="H312" s="167" t="s">
        <v>293</v>
      </c>
      <c r="I312" s="173">
        <v>20414.77563211487</v>
      </c>
      <c r="J312" s="168">
        <f>IFERROR(MIN('MP Calculations'!$E$30/I312,1),"-")</f>
        <v>0.40513348981719682</v>
      </c>
      <c r="K312" s="12"/>
      <c r="L312" s="159">
        <v>101.271702</v>
      </c>
      <c r="M312" s="159" t="s">
        <v>294</v>
      </c>
      <c r="N312" s="159">
        <v>350</v>
      </c>
      <c r="O312" s="185">
        <f t="shared" si="13"/>
        <v>35445.095700000005</v>
      </c>
      <c r="P312" s="215">
        <f t="shared" si="15"/>
        <v>14359.99531784552</v>
      </c>
      <c r="Q312" s="215" cm="1">
        <f t="array" ref="Q312">IF(P312="-",0,P312/(1+'General inputs'!$H$32)^IFERROR(INDEX('MP Calculations'!$C$40:$C$130,MATCH(F312,'MP Calculations'!$D$40:$D$130,0),0),-1))</f>
        <v>26617.672836658061</v>
      </c>
    </row>
    <row r="313" spans="3:17">
      <c r="C313" s="159"/>
      <c r="D313" s="165" t="s">
        <v>281</v>
      </c>
      <c r="E313" s="161">
        <v>39337</v>
      </c>
      <c r="F313" s="172" t="str">
        <f t="shared" si="14"/>
        <v>2007-08</v>
      </c>
      <c r="G313" s="68"/>
      <c r="H313" s="167" t="s">
        <v>293</v>
      </c>
      <c r="I313" s="173">
        <v>20414.77563211487</v>
      </c>
      <c r="J313" s="168">
        <f>IFERROR(MIN('MP Calculations'!$E$30/I313,1),"-")</f>
        <v>0.40513348981719682</v>
      </c>
      <c r="K313" s="12"/>
      <c r="L313" s="159">
        <v>21.174467</v>
      </c>
      <c r="M313" s="159" t="s">
        <v>294</v>
      </c>
      <c r="N313" s="159">
        <v>350</v>
      </c>
      <c r="O313" s="185">
        <f t="shared" si="13"/>
        <v>7411.0634499999996</v>
      </c>
      <c r="P313" s="215">
        <f t="shared" si="15"/>
        <v>3002.4699987551744</v>
      </c>
      <c r="Q313" s="215" cm="1">
        <f t="array" ref="Q313">IF(P313="-",0,P313/(1+'General inputs'!$H$32)^IFERROR(INDEX('MP Calculations'!$C$40:$C$130,MATCH(F313,'MP Calculations'!$D$40:$D$130,0),0),-1))</f>
        <v>5565.3753611903585</v>
      </c>
    </row>
    <row r="314" spans="3:17">
      <c r="C314" s="159"/>
      <c r="D314" s="165" t="s">
        <v>281</v>
      </c>
      <c r="E314" s="161">
        <v>39337</v>
      </c>
      <c r="F314" s="172" t="str">
        <f t="shared" si="14"/>
        <v>2007-08</v>
      </c>
      <c r="G314" s="68"/>
      <c r="H314" s="167" t="s">
        <v>293</v>
      </c>
      <c r="I314" s="173">
        <v>20414.77563211487</v>
      </c>
      <c r="J314" s="168">
        <f>IFERROR(MIN('MP Calculations'!$E$30/I314,1),"-")</f>
        <v>0.40513348981719682</v>
      </c>
      <c r="K314" s="12"/>
      <c r="L314" s="159">
        <v>56.621043999999998</v>
      </c>
      <c r="M314" s="159" t="s">
        <v>294</v>
      </c>
      <c r="N314" s="159">
        <v>350</v>
      </c>
      <c r="O314" s="185">
        <f t="shared" si="13"/>
        <v>19817.365399999999</v>
      </c>
      <c r="P314" s="215">
        <f t="shared" si="15"/>
        <v>8028.6784034845678</v>
      </c>
      <c r="Q314" s="215" cm="1">
        <f t="array" ref="Q314">IF(P314="-",0,P314/(1+'General inputs'!$H$32)^IFERROR(INDEX('MP Calculations'!$C$40:$C$130,MATCH(F314,'MP Calculations'!$D$40:$D$130,0),0),-1))</f>
        <v>14881.95019040976</v>
      </c>
    </row>
    <row r="315" spans="3:17">
      <c r="C315" s="159"/>
      <c r="D315" s="165" t="s">
        <v>281</v>
      </c>
      <c r="E315" s="161">
        <v>39337</v>
      </c>
      <c r="F315" s="172" t="str">
        <f t="shared" si="14"/>
        <v>2007-08</v>
      </c>
      <c r="G315" s="68"/>
      <c r="H315" s="167" t="s">
        <v>293</v>
      </c>
      <c r="I315" s="173">
        <v>20414.77563211487</v>
      </c>
      <c r="J315" s="168">
        <f>IFERROR(MIN('MP Calculations'!$E$30/I315,1),"-")</f>
        <v>0.40513348981719682</v>
      </c>
      <c r="K315" s="12"/>
      <c r="L315" s="159">
        <v>15.602596</v>
      </c>
      <c r="M315" s="159" t="s">
        <v>294</v>
      </c>
      <c r="N315" s="159">
        <v>350</v>
      </c>
      <c r="O315" s="185">
        <f t="shared" si="13"/>
        <v>5460.9085999999998</v>
      </c>
      <c r="P315" s="215">
        <f t="shared" si="15"/>
        <v>2212.3969586907424</v>
      </c>
      <c r="Q315" s="215" cm="1">
        <f t="array" ref="Q315">IF(P315="-",0,P315/(1+'General inputs'!$H$32)^IFERROR(INDEX('MP Calculations'!$C$40:$C$130,MATCH(F315,'MP Calculations'!$D$40:$D$130,0),0),-1))</f>
        <v>4100.8967710501165</v>
      </c>
    </row>
    <row r="316" spans="3:17">
      <c r="C316" s="159"/>
      <c r="D316" s="165" t="s">
        <v>281</v>
      </c>
      <c r="E316" s="161">
        <v>39337</v>
      </c>
      <c r="F316" s="172" t="str">
        <f t="shared" si="14"/>
        <v>2007-08</v>
      </c>
      <c r="G316" s="68"/>
      <c r="H316" s="167" t="s">
        <v>293</v>
      </c>
      <c r="I316" s="173">
        <v>20414.77563211487</v>
      </c>
      <c r="J316" s="168">
        <f>IFERROR(MIN('MP Calculations'!$E$30/I316,1),"-")</f>
        <v>0.40513348981719682</v>
      </c>
      <c r="K316" s="12"/>
      <c r="L316" s="159">
        <v>60.017135000000003</v>
      </c>
      <c r="M316" s="159" t="s">
        <v>294</v>
      </c>
      <c r="N316" s="159">
        <v>350</v>
      </c>
      <c r="O316" s="185">
        <f t="shared" si="13"/>
        <v>21005.99725</v>
      </c>
      <c r="P316" s="215">
        <f t="shared" si="15"/>
        <v>8510.2329729829398</v>
      </c>
      <c r="Q316" s="215" cm="1">
        <f t="array" ref="Q316">IF(P316="-",0,P316/(1+'General inputs'!$H$32)^IFERROR(INDEX('MP Calculations'!$C$40:$C$130,MATCH(F316,'MP Calculations'!$D$40:$D$130,0),0),-1))</f>
        <v>15774.559254702162</v>
      </c>
    </row>
    <row r="317" spans="3:17">
      <c r="C317" s="159"/>
      <c r="D317" s="165" t="s">
        <v>281</v>
      </c>
      <c r="E317" s="161">
        <v>39337</v>
      </c>
      <c r="F317" s="172" t="str">
        <f t="shared" si="14"/>
        <v>2007-08</v>
      </c>
      <c r="G317" s="68"/>
      <c r="H317" s="167" t="s">
        <v>293</v>
      </c>
      <c r="I317" s="173">
        <v>20414.77563211487</v>
      </c>
      <c r="J317" s="168">
        <f>IFERROR(MIN('MP Calculations'!$E$30/I317,1),"-")</f>
        <v>0.40513348981719682</v>
      </c>
      <c r="K317" s="12"/>
      <c r="L317" s="159">
        <v>0.50242299999999995</v>
      </c>
      <c r="M317" s="159" t="s">
        <v>294</v>
      </c>
      <c r="N317" s="159">
        <v>350</v>
      </c>
      <c r="O317" s="185">
        <f t="shared" si="13"/>
        <v>175.84804999999997</v>
      </c>
      <c r="P317" s="215">
        <f t="shared" si="15"/>
        <v>71.241934174048907</v>
      </c>
      <c r="Q317" s="215" cm="1">
        <f t="array" ref="Q317">IF(P317="-",0,P317/(1+'General inputs'!$H$32)^IFERROR(INDEX('MP Calculations'!$C$40:$C$130,MATCH(F317,'MP Calculations'!$D$40:$D$130,0),0),-1))</f>
        <v>132.05397732539586</v>
      </c>
    </row>
    <row r="318" spans="3:17">
      <c r="C318" s="159"/>
      <c r="D318" s="165" t="s">
        <v>281</v>
      </c>
      <c r="E318" s="161">
        <v>39337</v>
      </c>
      <c r="F318" s="172" t="str">
        <f t="shared" si="14"/>
        <v>2007-08</v>
      </c>
      <c r="G318" s="68"/>
      <c r="H318" s="167" t="s">
        <v>293</v>
      </c>
      <c r="I318" s="173">
        <v>20414.77563211487</v>
      </c>
      <c r="J318" s="168">
        <f>IFERROR(MIN('MP Calculations'!$E$30/I318,1),"-")</f>
        <v>0.40513348981719682</v>
      </c>
      <c r="K318" s="12"/>
      <c r="L318" s="159">
        <v>26.905404999999998</v>
      </c>
      <c r="M318" s="159" t="s">
        <v>294</v>
      </c>
      <c r="N318" s="159">
        <v>350</v>
      </c>
      <c r="O318" s="185">
        <f t="shared" si="13"/>
        <v>9416.8917499999989</v>
      </c>
      <c r="P318" s="215">
        <f t="shared" si="15"/>
        <v>3815.0982179082694</v>
      </c>
      <c r="Q318" s="215" cm="1">
        <f t="array" ref="Q318">IF(P318="-",0,P318/(1+'General inputs'!$H$32)^IFERROR(INDEX('MP Calculations'!$C$40:$C$130,MATCH(F318,'MP Calculations'!$D$40:$D$130,0),0),-1))</f>
        <v>7071.662208538608</v>
      </c>
    </row>
    <row r="319" spans="3:17">
      <c r="C319" s="159"/>
      <c r="D319" s="165" t="s">
        <v>281</v>
      </c>
      <c r="E319" s="161">
        <v>39337</v>
      </c>
      <c r="F319" s="172" t="str">
        <f t="shared" si="14"/>
        <v>2007-08</v>
      </c>
      <c r="G319" s="68"/>
      <c r="H319" s="167" t="s">
        <v>293</v>
      </c>
      <c r="I319" s="173">
        <v>20414.77563211487</v>
      </c>
      <c r="J319" s="168">
        <f>IFERROR(MIN('MP Calculations'!$E$30/I319,1),"-")</f>
        <v>0.40513348981719682</v>
      </c>
      <c r="K319" s="12"/>
      <c r="L319" s="159">
        <v>1.820648</v>
      </c>
      <c r="M319" s="159" t="s">
        <v>294</v>
      </c>
      <c r="N319" s="159">
        <v>350</v>
      </c>
      <c r="O319" s="185">
        <f t="shared" si="13"/>
        <v>637.22680000000003</v>
      </c>
      <c r="P319" s="215">
        <f t="shared" si="15"/>
        <v>258.16191728904494</v>
      </c>
      <c r="Q319" s="215" cm="1">
        <f t="array" ref="Q319">IF(P319="-",0,P319/(1+'General inputs'!$H$32)^IFERROR(INDEX('MP Calculations'!$C$40:$C$130,MATCH(F319,'MP Calculations'!$D$40:$D$130,0),0),-1))</f>
        <v>478.52866948672215</v>
      </c>
    </row>
    <row r="320" spans="3:17">
      <c r="C320" s="159"/>
      <c r="D320" s="165" t="s">
        <v>281</v>
      </c>
      <c r="E320" s="161">
        <v>39338</v>
      </c>
      <c r="F320" s="172" t="str">
        <f t="shared" si="14"/>
        <v>2007-08</v>
      </c>
      <c r="G320" s="68"/>
      <c r="H320" s="167" t="s">
        <v>293</v>
      </c>
      <c r="I320" s="173">
        <v>20414.77563211487</v>
      </c>
      <c r="J320" s="168">
        <f>IFERROR(MIN('MP Calculations'!$E$30/I320,1),"-")</f>
        <v>0.40513348981719682</v>
      </c>
      <c r="K320" s="12"/>
      <c r="L320" s="159">
        <v>0.27324900000000002</v>
      </c>
      <c r="M320" s="159" t="s">
        <v>294</v>
      </c>
      <c r="N320" s="159">
        <v>350</v>
      </c>
      <c r="O320" s="185">
        <f t="shared" si="13"/>
        <v>95.637150000000005</v>
      </c>
      <c r="P320" s="215">
        <f t="shared" si="15"/>
        <v>38.745812335670728</v>
      </c>
      <c r="Q320" s="215" cm="1">
        <f t="array" ref="Q320">IF(P320="-",0,P320/(1+'General inputs'!$H$32)^IFERROR(INDEX('MP Calculations'!$C$40:$C$130,MATCH(F320,'MP Calculations'!$D$40:$D$130,0),0),-1))</f>
        <v>71.819198663650155</v>
      </c>
    </row>
    <row r="321" spans="3:17">
      <c r="C321" s="159"/>
      <c r="D321" s="165" t="s">
        <v>281</v>
      </c>
      <c r="E321" s="161">
        <v>39338</v>
      </c>
      <c r="F321" s="172" t="str">
        <f t="shared" si="14"/>
        <v>2007-08</v>
      </c>
      <c r="G321" s="68"/>
      <c r="H321" s="167" t="s">
        <v>293</v>
      </c>
      <c r="I321" s="173">
        <v>20414.77563211487</v>
      </c>
      <c r="J321" s="168">
        <f>IFERROR(MIN('MP Calculations'!$E$30/I321,1),"-")</f>
        <v>0.40513348981719682</v>
      </c>
      <c r="K321" s="12"/>
      <c r="L321" s="159">
        <v>2.6505519999999998</v>
      </c>
      <c r="M321" s="159" t="s">
        <v>294</v>
      </c>
      <c r="N321" s="159">
        <v>350</v>
      </c>
      <c r="O321" s="185">
        <f t="shared" ref="O321:O384" si="16">IF(N321="","-",L321*N321)</f>
        <v>927.69319999999993</v>
      </c>
      <c r="P321" s="215">
        <f t="shared" si="15"/>
        <v>375.83958359568271</v>
      </c>
      <c r="Q321" s="215" cm="1">
        <f t="array" ref="Q321">IF(P321="-",0,P321/(1+'General inputs'!$H$32)^IFERROR(INDEX('MP Calculations'!$C$40:$C$130,MATCH(F321,'MP Calculations'!$D$40:$D$130,0),0),-1))</f>
        <v>696.65587305474219</v>
      </c>
    </row>
    <row r="322" spans="3:17">
      <c r="C322" s="159"/>
      <c r="D322" s="165" t="s">
        <v>281</v>
      </c>
      <c r="E322" s="161">
        <v>39338</v>
      </c>
      <c r="F322" s="172" t="str">
        <f t="shared" si="14"/>
        <v>2007-08</v>
      </c>
      <c r="G322" s="68"/>
      <c r="H322" s="167" t="s">
        <v>293</v>
      </c>
      <c r="I322" s="173">
        <v>20414.77563211487</v>
      </c>
      <c r="J322" s="168">
        <f>IFERROR(MIN('MP Calculations'!$E$30/I322,1),"-")</f>
        <v>0.40513348981719682</v>
      </c>
      <c r="K322" s="12"/>
      <c r="L322" s="159">
        <v>37.072457999999997</v>
      </c>
      <c r="M322" s="159" t="s">
        <v>294</v>
      </c>
      <c r="N322" s="159">
        <v>350</v>
      </c>
      <c r="O322" s="185">
        <f t="shared" si="16"/>
        <v>12975.360299999998</v>
      </c>
      <c r="P322" s="215">
        <f t="shared" si="15"/>
        <v>5256.7529999745093</v>
      </c>
      <c r="Q322" s="215" cm="1">
        <f t="array" ref="Q322">IF(P322="-",0,P322/(1+'General inputs'!$H$32)^IFERROR(INDEX('MP Calculations'!$C$40:$C$130,MATCH(F322,'MP Calculations'!$D$40:$D$130,0),0),-1))</f>
        <v>9743.9120584222674</v>
      </c>
    </row>
    <row r="323" spans="3:17">
      <c r="C323" s="159"/>
      <c r="D323" s="165" t="s">
        <v>281</v>
      </c>
      <c r="E323" s="161">
        <v>39338</v>
      </c>
      <c r="F323" s="172" t="str">
        <f t="shared" si="14"/>
        <v>2007-08</v>
      </c>
      <c r="G323" s="68"/>
      <c r="H323" s="167" t="s">
        <v>293</v>
      </c>
      <c r="I323" s="173">
        <v>20414.77563211487</v>
      </c>
      <c r="J323" s="168">
        <f>IFERROR(MIN('MP Calculations'!$E$30/I323,1),"-")</f>
        <v>0.40513348981719682</v>
      </c>
      <c r="K323" s="12"/>
      <c r="L323" s="159">
        <v>12.721147999999999</v>
      </c>
      <c r="M323" s="159" t="s">
        <v>294</v>
      </c>
      <c r="N323" s="159">
        <v>350</v>
      </c>
      <c r="O323" s="185">
        <f t="shared" si="16"/>
        <v>4452.4017999999996</v>
      </c>
      <c r="P323" s="215">
        <f t="shared" si="15"/>
        <v>1803.8170793023687</v>
      </c>
      <c r="Q323" s="215" cm="1">
        <f t="array" ref="Q323">IF(P323="-",0,P323/(1+'General inputs'!$H$32)^IFERROR(INDEX('MP Calculations'!$C$40:$C$130,MATCH(F323,'MP Calculations'!$D$40:$D$130,0),0),-1))</f>
        <v>3343.5535187382052</v>
      </c>
    </row>
    <row r="324" spans="3:17">
      <c r="C324" s="159"/>
      <c r="D324" s="165" t="s">
        <v>281</v>
      </c>
      <c r="E324" s="161">
        <v>39338</v>
      </c>
      <c r="F324" s="172" t="str">
        <f t="shared" si="14"/>
        <v>2007-08</v>
      </c>
      <c r="G324" s="68"/>
      <c r="H324" s="167" t="s">
        <v>293</v>
      </c>
      <c r="I324" s="173">
        <v>20414.77563211487</v>
      </c>
      <c r="J324" s="168">
        <f>IFERROR(MIN('MP Calculations'!$E$30/I324,1),"-")</f>
        <v>0.40513348981719682</v>
      </c>
      <c r="K324" s="12"/>
      <c r="L324" s="159">
        <v>55.529570999999997</v>
      </c>
      <c r="M324" s="159" t="s">
        <v>294</v>
      </c>
      <c r="N324" s="159">
        <v>350</v>
      </c>
      <c r="O324" s="185">
        <f t="shared" si="16"/>
        <v>19435.349849999999</v>
      </c>
      <c r="P324" s="215">
        <f t="shared" si="15"/>
        <v>7873.9111105486327</v>
      </c>
      <c r="Q324" s="215" cm="1">
        <f t="array" ref="Q324">IF(P324="-",0,P324/(1+'General inputs'!$H$32)^IFERROR(INDEX('MP Calculations'!$C$40:$C$130,MATCH(F324,'MP Calculations'!$D$40:$D$130,0),0),-1))</f>
        <v>14595.073692332877</v>
      </c>
    </row>
    <row r="325" spans="3:17">
      <c r="C325" s="159"/>
      <c r="D325" s="165" t="s">
        <v>281</v>
      </c>
      <c r="E325" s="161">
        <v>39338</v>
      </c>
      <c r="F325" s="172" t="str">
        <f t="shared" si="14"/>
        <v>2007-08</v>
      </c>
      <c r="G325" s="68"/>
      <c r="H325" s="167" t="s">
        <v>293</v>
      </c>
      <c r="I325" s="173">
        <v>20414.77563211487</v>
      </c>
      <c r="J325" s="168">
        <f>IFERROR(MIN('MP Calculations'!$E$30/I325,1),"-")</f>
        <v>0.40513348981719682</v>
      </c>
      <c r="K325" s="12"/>
      <c r="L325" s="159">
        <v>60.991185999999999</v>
      </c>
      <c r="M325" s="159" t="s">
        <v>294</v>
      </c>
      <c r="N325" s="159">
        <v>350</v>
      </c>
      <c r="O325" s="185">
        <f t="shared" si="16"/>
        <v>21346.915099999998</v>
      </c>
      <c r="P325" s="215">
        <f t="shared" si="15"/>
        <v>8648.3502112944152</v>
      </c>
      <c r="Q325" s="215" cm="1">
        <f t="array" ref="Q325">IF(P325="-",0,P325/(1+'General inputs'!$H$32)^IFERROR(INDEX('MP Calculations'!$C$40:$C$130,MATCH(F325,'MP Calculations'!$D$40:$D$130,0),0),-1))</f>
        <v>16030.57322832156</v>
      </c>
    </row>
    <row r="326" spans="3:17">
      <c r="C326" s="159"/>
      <c r="D326" s="165" t="s">
        <v>281</v>
      </c>
      <c r="E326" s="161">
        <v>39338</v>
      </c>
      <c r="F326" s="172" t="str">
        <f t="shared" si="14"/>
        <v>2007-08</v>
      </c>
      <c r="G326" s="68"/>
      <c r="H326" s="167" t="s">
        <v>293</v>
      </c>
      <c r="I326" s="173">
        <v>20414.77563211487</v>
      </c>
      <c r="J326" s="168">
        <f>IFERROR(MIN('MP Calculations'!$E$30/I326,1),"-")</f>
        <v>0.40513348981719682</v>
      </c>
      <c r="K326" s="12"/>
      <c r="L326" s="159">
        <v>55.200054000000002</v>
      </c>
      <c r="M326" s="159" t="s">
        <v>294</v>
      </c>
      <c r="N326" s="159">
        <v>350</v>
      </c>
      <c r="O326" s="185">
        <f t="shared" si="16"/>
        <v>19320.018899999999</v>
      </c>
      <c r="P326" s="215">
        <f t="shared" si="15"/>
        <v>7827.1866802912</v>
      </c>
      <c r="Q326" s="215" cm="1">
        <f t="array" ref="Q326">IF(P326="-",0,P326/(1+'General inputs'!$H$32)^IFERROR(INDEX('MP Calculations'!$C$40:$C$130,MATCH(F326,'MP Calculations'!$D$40:$D$130,0),0),-1))</f>
        <v>14508.465335537243</v>
      </c>
    </row>
    <row r="327" spans="3:17">
      <c r="C327" s="159"/>
      <c r="D327" s="165" t="s">
        <v>281</v>
      </c>
      <c r="E327" s="161">
        <v>39338</v>
      </c>
      <c r="F327" s="172" t="str">
        <f t="shared" si="14"/>
        <v>2007-08</v>
      </c>
      <c r="G327" s="68"/>
      <c r="H327" s="167" t="s">
        <v>293</v>
      </c>
      <c r="I327" s="173">
        <v>20414.77563211487</v>
      </c>
      <c r="J327" s="168">
        <f>IFERROR(MIN('MP Calculations'!$E$30/I327,1),"-")</f>
        <v>0.40513348981719682</v>
      </c>
      <c r="K327" s="12"/>
      <c r="L327" s="159">
        <v>0.45865699999999998</v>
      </c>
      <c r="M327" s="159" t="s">
        <v>294</v>
      </c>
      <c r="N327" s="159">
        <v>350</v>
      </c>
      <c r="O327" s="185">
        <f t="shared" si="16"/>
        <v>160.52994999999999</v>
      </c>
      <c r="P327" s="215">
        <f t="shared" si="15"/>
        <v>65.036058863680111</v>
      </c>
      <c r="Q327" s="215" cm="1">
        <f t="array" ref="Q327">IF(P327="-",0,P327/(1+'General inputs'!$H$32)^IFERROR(INDEX('MP Calculations'!$C$40:$C$130,MATCH(F327,'MP Calculations'!$D$40:$D$130,0),0),-1))</f>
        <v>120.55077310977822</v>
      </c>
    </row>
    <row r="328" spans="3:17">
      <c r="C328" s="159"/>
      <c r="D328" s="165" t="s">
        <v>281</v>
      </c>
      <c r="E328" s="161">
        <v>39338</v>
      </c>
      <c r="F328" s="172" t="str">
        <f t="shared" si="14"/>
        <v>2007-08</v>
      </c>
      <c r="G328" s="68"/>
      <c r="H328" s="167" t="s">
        <v>293</v>
      </c>
      <c r="I328" s="173">
        <v>20414.77563211487</v>
      </c>
      <c r="J328" s="168">
        <f>IFERROR(MIN('MP Calculations'!$E$30/I328,1),"-")</f>
        <v>0.40513348981719682</v>
      </c>
      <c r="K328" s="12"/>
      <c r="L328" s="159">
        <v>8.5047300000000003</v>
      </c>
      <c r="M328" s="159" t="s">
        <v>294</v>
      </c>
      <c r="N328" s="159">
        <v>350</v>
      </c>
      <c r="O328" s="185">
        <f t="shared" si="16"/>
        <v>2976.6555000000003</v>
      </c>
      <c r="P328" s="215">
        <f t="shared" si="15"/>
        <v>1205.9428306985531</v>
      </c>
      <c r="Q328" s="215" cm="1">
        <f t="array" ref="Q328">IF(P328="-",0,P328/(1+'General inputs'!$H$32)^IFERROR(INDEX('MP Calculations'!$C$40:$C$130,MATCH(F328,'MP Calculations'!$D$40:$D$130,0),0),-1))</f>
        <v>2235.3344145841538</v>
      </c>
    </row>
    <row r="329" spans="3:17">
      <c r="C329" s="159"/>
      <c r="D329" s="165" t="s">
        <v>281</v>
      </c>
      <c r="E329" s="161">
        <v>39338</v>
      </c>
      <c r="F329" s="172" t="str">
        <f t="shared" si="14"/>
        <v>2007-08</v>
      </c>
      <c r="G329" s="68"/>
      <c r="H329" s="167" t="s">
        <v>293</v>
      </c>
      <c r="I329" s="173">
        <v>20414.77563211487</v>
      </c>
      <c r="J329" s="168">
        <f>IFERROR(MIN('MP Calculations'!$E$30/I329,1),"-")</f>
        <v>0.40513348981719682</v>
      </c>
      <c r="K329" s="12"/>
      <c r="L329" s="159">
        <v>10.557423999999999</v>
      </c>
      <c r="M329" s="159" t="s">
        <v>294</v>
      </c>
      <c r="N329" s="159">
        <v>350</v>
      </c>
      <c r="O329" s="185">
        <f t="shared" si="16"/>
        <v>3695.0983999999999</v>
      </c>
      <c r="P329" s="215">
        <f t="shared" si="15"/>
        <v>1497.0081100099403</v>
      </c>
      <c r="Q329" s="215" cm="1">
        <f t="array" ref="Q329">IF(P329="-",0,P329/(1+'General inputs'!$H$32)^IFERROR(INDEX('MP Calculations'!$C$40:$C$130,MATCH(F329,'MP Calculations'!$D$40:$D$130,0),0),-1))</f>
        <v>2774.8527227268464</v>
      </c>
    </row>
    <row r="330" spans="3:17">
      <c r="C330" s="159"/>
      <c r="D330" s="165" t="s">
        <v>281</v>
      </c>
      <c r="E330" s="161">
        <v>39510</v>
      </c>
      <c r="F330" s="172" t="str">
        <f t="shared" si="14"/>
        <v>2007-08</v>
      </c>
      <c r="G330" s="68"/>
      <c r="H330" s="167" t="s">
        <v>293</v>
      </c>
      <c r="I330" s="173">
        <v>20414.77563211487</v>
      </c>
      <c r="J330" s="168">
        <f>IFERROR(MIN('MP Calculations'!$E$30/I330,1),"-")</f>
        <v>0.40513348981719682</v>
      </c>
      <c r="K330" s="12"/>
      <c r="L330" s="159">
        <v>107.052817</v>
      </c>
      <c r="M330" s="159" t="s">
        <v>294</v>
      </c>
      <c r="N330" s="159">
        <v>350</v>
      </c>
      <c r="O330" s="185">
        <f t="shared" si="16"/>
        <v>37468.485950000002</v>
      </c>
      <c r="P330" s="215">
        <f t="shared" si="15"/>
        <v>15179.738471090108</v>
      </c>
      <c r="Q330" s="215" cm="1">
        <f t="array" ref="Q330">IF(P330="-",0,P330/(1+'General inputs'!$H$32)^IFERROR(INDEX('MP Calculations'!$C$40:$C$130,MATCH(F330,'MP Calculations'!$D$40:$D$130,0),0),-1))</f>
        <v>28137.147918661678</v>
      </c>
    </row>
    <row r="331" spans="3:17">
      <c r="C331" s="159"/>
      <c r="D331" s="165" t="s">
        <v>281</v>
      </c>
      <c r="E331" s="161">
        <v>39510</v>
      </c>
      <c r="F331" s="172" t="str">
        <f t="shared" si="14"/>
        <v>2007-08</v>
      </c>
      <c r="G331" s="68"/>
      <c r="H331" s="167" t="s">
        <v>293</v>
      </c>
      <c r="I331" s="173">
        <v>20414.77563211487</v>
      </c>
      <c r="J331" s="168">
        <f>IFERROR(MIN('MP Calculations'!$E$30/I331,1),"-")</f>
        <v>0.40513348981719682</v>
      </c>
      <c r="K331" s="12"/>
      <c r="L331" s="159">
        <v>68.971182999999996</v>
      </c>
      <c r="M331" s="159" t="s">
        <v>294</v>
      </c>
      <c r="N331" s="159">
        <v>350</v>
      </c>
      <c r="O331" s="185">
        <f t="shared" si="16"/>
        <v>24139.914049999999</v>
      </c>
      <c r="P331" s="215">
        <f t="shared" si="15"/>
        <v>9779.8876229636808</v>
      </c>
      <c r="Q331" s="215" cm="1">
        <f t="array" ref="Q331">IF(P331="-",0,P331/(1+'General inputs'!$H$32)^IFERROR(INDEX('MP Calculations'!$C$40:$C$130,MATCH(F331,'MP Calculations'!$D$40:$D$130,0),0),-1))</f>
        <v>18127.989833243562</v>
      </c>
    </row>
    <row r="332" spans="3:17">
      <c r="C332" s="159"/>
      <c r="D332" s="165" t="s">
        <v>281</v>
      </c>
      <c r="E332" s="161">
        <v>39510</v>
      </c>
      <c r="F332" s="172" t="str">
        <f t="shared" si="14"/>
        <v>2007-08</v>
      </c>
      <c r="G332" s="68"/>
      <c r="H332" s="167" t="s">
        <v>293</v>
      </c>
      <c r="I332" s="173">
        <v>20414.77563211487</v>
      </c>
      <c r="J332" s="168">
        <f>IFERROR(MIN('MP Calculations'!$E$30/I332,1),"-")</f>
        <v>0.40513348981719682</v>
      </c>
      <c r="K332" s="12"/>
      <c r="L332" s="159">
        <v>0.297846</v>
      </c>
      <c r="M332" s="159" t="s">
        <v>294</v>
      </c>
      <c r="N332" s="159">
        <v>350</v>
      </c>
      <c r="O332" s="185">
        <f t="shared" si="16"/>
        <v>104.2461</v>
      </c>
      <c r="P332" s="215">
        <f t="shared" si="15"/>
        <v>42.233586292832484</v>
      </c>
      <c r="Q332" s="215" cm="1">
        <f t="array" ref="Q332">IF(P332="-",0,P332/(1+'General inputs'!$H$32)^IFERROR(INDEX('MP Calculations'!$C$40:$C$130,MATCH(F332,'MP Calculations'!$D$40:$D$130,0),0),-1))</f>
        <v>78.284132952631282</v>
      </c>
    </row>
    <row r="333" spans="3:17">
      <c r="C333" s="159"/>
      <c r="D333" s="165" t="s">
        <v>281</v>
      </c>
      <c r="E333" s="161">
        <v>39510</v>
      </c>
      <c r="F333" s="172" t="str">
        <f t="shared" si="14"/>
        <v>2007-08</v>
      </c>
      <c r="G333" s="68"/>
      <c r="H333" s="167" t="s">
        <v>293</v>
      </c>
      <c r="I333" s="173">
        <v>20414.77563211487</v>
      </c>
      <c r="J333" s="168">
        <f>IFERROR(MIN('MP Calculations'!$E$30/I333,1),"-")</f>
        <v>0.40513348981719682</v>
      </c>
      <c r="K333" s="12"/>
      <c r="L333" s="159">
        <v>68.637158999999997</v>
      </c>
      <c r="M333" s="159" t="s">
        <v>294</v>
      </c>
      <c r="N333" s="159">
        <v>350</v>
      </c>
      <c r="O333" s="185">
        <f t="shared" si="16"/>
        <v>24023.005649999999</v>
      </c>
      <c r="P333" s="215">
        <f t="shared" si="15"/>
        <v>9732.5241148827372</v>
      </c>
      <c r="Q333" s="215" cm="1">
        <f t="array" ref="Q333">IF(P333="-",0,P333/(1+'General inputs'!$H$32)^IFERROR(INDEX('MP Calculations'!$C$40:$C$130,MATCH(F333,'MP Calculations'!$D$40:$D$130,0),0),-1))</f>
        <v>18040.196882438886</v>
      </c>
    </row>
    <row r="334" spans="3:17">
      <c r="C334" s="159"/>
      <c r="D334" s="165" t="s">
        <v>281</v>
      </c>
      <c r="E334" s="161">
        <v>39510</v>
      </c>
      <c r="F334" s="172" t="str">
        <f t="shared" si="14"/>
        <v>2007-08</v>
      </c>
      <c r="G334" s="68"/>
      <c r="H334" s="167" t="s">
        <v>293</v>
      </c>
      <c r="I334" s="173">
        <v>20414.77563211487</v>
      </c>
      <c r="J334" s="168">
        <f>IFERROR(MIN('MP Calculations'!$E$30/I334,1),"-")</f>
        <v>0.40513348981719682</v>
      </c>
      <c r="K334" s="12"/>
      <c r="L334" s="159">
        <v>78.107808000000006</v>
      </c>
      <c r="M334" s="159" t="s">
        <v>294</v>
      </c>
      <c r="N334" s="159">
        <v>350</v>
      </c>
      <c r="O334" s="185">
        <f t="shared" si="16"/>
        <v>27337.732800000002</v>
      </c>
      <c r="P334" s="215">
        <f t="shared" si="15"/>
        <v>11075.431092954048</v>
      </c>
      <c r="Q334" s="215" cm="1">
        <f t="array" ref="Q334">IF(P334="-",0,P334/(1+'General inputs'!$H$32)^IFERROR(INDEX('MP Calculations'!$C$40:$C$130,MATCH(F334,'MP Calculations'!$D$40:$D$130,0),0),-1))</f>
        <v>20529.407902441522</v>
      </c>
    </row>
    <row r="335" spans="3:17">
      <c r="C335" s="159"/>
      <c r="D335" s="165" t="s">
        <v>281</v>
      </c>
      <c r="E335" s="161">
        <v>39510</v>
      </c>
      <c r="F335" s="172" t="str">
        <f t="shared" si="14"/>
        <v>2007-08</v>
      </c>
      <c r="G335" s="68"/>
      <c r="H335" s="167" t="s">
        <v>293</v>
      </c>
      <c r="I335" s="173">
        <v>20414.77563211487</v>
      </c>
      <c r="J335" s="168">
        <f>IFERROR(MIN('MP Calculations'!$E$30/I335,1),"-")</f>
        <v>0.40513348981719682</v>
      </c>
      <c r="K335" s="12"/>
      <c r="L335" s="159">
        <v>65.204369999999997</v>
      </c>
      <c r="M335" s="159" t="s">
        <v>294</v>
      </c>
      <c r="N335" s="159">
        <v>350</v>
      </c>
      <c r="O335" s="185">
        <f t="shared" si="16"/>
        <v>22821.529500000001</v>
      </c>
      <c r="P335" s="215">
        <f t="shared" si="15"/>
        <v>9245.7658893011067</v>
      </c>
      <c r="Q335" s="215" cm="1">
        <f t="array" ref="Q335">IF(P335="-",0,P335/(1+'General inputs'!$H$32)^IFERROR(INDEX('MP Calculations'!$C$40:$C$130,MATCH(F335,'MP Calculations'!$D$40:$D$130,0),0),-1))</f>
        <v>17137.942326479329</v>
      </c>
    </row>
    <row r="336" spans="3:17">
      <c r="C336" s="159"/>
      <c r="D336" s="165" t="s">
        <v>281</v>
      </c>
      <c r="E336" s="161">
        <v>39510</v>
      </c>
      <c r="F336" s="172" t="str">
        <f t="shared" si="14"/>
        <v>2007-08</v>
      </c>
      <c r="G336" s="68"/>
      <c r="H336" s="167" t="s">
        <v>293</v>
      </c>
      <c r="I336" s="173">
        <v>20414.77563211487</v>
      </c>
      <c r="J336" s="168">
        <f>IFERROR(MIN('MP Calculations'!$E$30/I336,1),"-")</f>
        <v>0.40513348981719682</v>
      </c>
      <c r="K336" s="12"/>
      <c r="L336" s="159">
        <v>129.55517499999999</v>
      </c>
      <c r="M336" s="159" t="s">
        <v>294</v>
      </c>
      <c r="N336" s="159">
        <v>350</v>
      </c>
      <c r="O336" s="185">
        <f t="shared" si="16"/>
        <v>45344.311249999999</v>
      </c>
      <c r="P336" s="215">
        <f t="shared" si="15"/>
        <v>18370.499060069676</v>
      </c>
      <c r="Q336" s="215" cm="1">
        <f t="array" ref="Q336">IF(P336="-",0,P336/(1+'General inputs'!$H$32)^IFERROR(INDEX('MP Calculations'!$C$40:$C$130,MATCH(F336,'MP Calculations'!$D$40:$D$130,0),0),-1))</f>
        <v>34051.538527968856</v>
      </c>
    </row>
    <row r="337" spans="3:17">
      <c r="C337" s="159"/>
      <c r="D337" s="165" t="s">
        <v>281</v>
      </c>
      <c r="E337" s="161">
        <v>39510</v>
      </c>
      <c r="F337" s="172" t="str">
        <f t="shared" si="14"/>
        <v>2007-08</v>
      </c>
      <c r="G337" s="68"/>
      <c r="H337" s="167" t="s">
        <v>293</v>
      </c>
      <c r="I337" s="173">
        <v>20414.77563211487</v>
      </c>
      <c r="J337" s="168">
        <f>IFERROR(MIN('MP Calculations'!$E$30/I337,1),"-")</f>
        <v>0.40513348981719682</v>
      </c>
      <c r="K337" s="12"/>
      <c r="L337" s="159">
        <v>69.829600999999997</v>
      </c>
      <c r="M337" s="159" t="s">
        <v>294</v>
      </c>
      <c r="N337" s="159">
        <v>350</v>
      </c>
      <c r="O337" s="185">
        <f t="shared" si="16"/>
        <v>24440.360349999999</v>
      </c>
      <c r="P337" s="215">
        <f t="shared" si="15"/>
        <v>9901.6084809853455</v>
      </c>
      <c r="Q337" s="215" cm="1">
        <f t="array" ref="Q337">IF(P337="-",0,P337/(1+'General inputs'!$H$32)^IFERROR(INDEX('MP Calculations'!$C$40:$C$130,MATCH(F337,'MP Calculations'!$D$40:$D$130,0),0),-1))</f>
        <v>18353.611492896307</v>
      </c>
    </row>
    <row r="338" spans="3:17">
      <c r="C338" s="159"/>
      <c r="D338" s="165" t="s">
        <v>281</v>
      </c>
      <c r="E338" s="161">
        <v>39510</v>
      </c>
      <c r="F338" s="172" t="str">
        <f t="shared" si="14"/>
        <v>2007-08</v>
      </c>
      <c r="G338" s="68"/>
      <c r="H338" s="167" t="s">
        <v>293</v>
      </c>
      <c r="I338" s="173">
        <v>20414.77563211487</v>
      </c>
      <c r="J338" s="168">
        <f>IFERROR(MIN('MP Calculations'!$E$30/I338,1),"-")</f>
        <v>0.40513348981719682</v>
      </c>
      <c r="K338" s="12"/>
      <c r="L338" s="159">
        <v>0.80210000000000004</v>
      </c>
      <c r="M338" s="159" t="s">
        <v>294</v>
      </c>
      <c r="N338" s="159">
        <v>350</v>
      </c>
      <c r="O338" s="185">
        <f t="shared" si="16"/>
        <v>280.73500000000001</v>
      </c>
      <c r="P338" s="215">
        <f t="shared" si="15"/>
        <v>113.73515026383076</v>
      </c>
      <c r="Q338" s="215" cm="1">
        <f t="array" ref="Q338">IF(P338="-",0,P338/(1+'General inputs'!$H$32)^IFERROR(INDEX('MP Calculations'!$C$40:$C$130,MATCH(F338,'MP Calculations'!$D$40:$D$130,0),0),-1))</f>
        <v>210.81935980777166</v>
      </c>
    </row>
    <row r="339" spans="3:17">
      <c r="C339" s="159"/>
      <c r="D339" s="165" t="s">
        <v>281</v>
      </c>
      <c r="E339" s="161">
        <v>39694</v>
      </c>
      <c r="F339" s="172" t="str">
        <f t="shared" si="14"/>
        <v>2008-09</v>
      </c>
      <c r="G339" s="68"/>
      <c r="H339" s="167" t="s">
        <v>293</v>
      </c>
      <c r="I339" s="173">
        <v>20414.77563211487</v>
      </c>
      <c r="J339" s="168">
        <f>IFERROR(MIN('MP Calculations'!$E$30/I339,1),"-")</f>
        <v>0.40513348981719682</v>
      </c>
      <c r="K339" s="12"/>
      <c r="L339" s="159">
        <v>0.88134400000000002</v>
      </c>
      <c r="M339" s="159" t="s">
        <v>294</v>
      </c>
      <c r="N339" s="159">
        <v>350</v>
      </c>
      <c r="O339" s="185">
        <f t="shared" si="16"/>
        <v>308.47039999999998</v>
      </c>
      <c r="P339" s="215">
        <f t="shared" si="15"/>
        <v>124.97168965730663</v>
      </c>
      <c r="Q339" s="215" cm="1">
        <f t="array" ref="Q339">IF(P339="-",0,P339/(1+'General inputs'!$H$32)^IFERROR(INDEX('MP Calculations'!$C$40:$C$130,MATCH(F339,'MP Calculations'!$D$40:$D$130,0),0),-1))</f>
        <v>222.31036266176125</v>
      </c>
    </row>
    <row r="340" spans="3:17">
      <c r="C340" s="159"/>
      <c r="D340" s="165" t="s">
        <v>281</v>
      </c>
      <c r="E340" s="161">
        <v>39694</v>
      </c>
      <c r="F340" s="172" t="str">
        <f t="shared" si="14"/>
        <v>2008-09</v>
      </c>
      <c r="G340" s="68"/>
      <c r="H340" s="167" t="s">
        <v>293</v>
      </c>
      <c r="I340" s="173">
        <v>20414.77563211487</v>
      </c>
      <c r="J340" s="168">
        <f>IFERROR(MIN('MP Calculations'!$E$30/I340,1),"-")</f>
        <v>0.40513348981719682</v>
      </c>
      <c r="K340" s="12"/>
      <c r="L340" s="159">
        <v>63.912644999999998</v>
      </c>
      <c r="M340" s="159" t="s">
        <v>294</v>
      </c>
      <c r="N340" s="159">
        <v>350</v>
      </c>
      <c r="O340" s="185">
        <f t="shared" si="16"/>
        <v>22369.425749999999</v>
      </c>
      <c r="P340" s="215">
        <f t="shared" si="15"/>
        <v>9062.6035193041644</v>
      </c>
      <c r="Q340" s="215" cm="1">
        <f t="array" ref="Q340">IF(P340="-",0,P340/(1+'General inputs'!$H$32)^IFERROR(INDEX('MP Calculations'!$C$40:$C$130,MATCH(F340,'MP Calculations'!$D$40:$D$130,0),0),-1))</f>
        <v>16121.336604801758</v>
      </c>
    </row>
    <row r="341" spans="3:17">
      <c r="C341" s="159"/>
      <c r="D341" s="165" t="s">
        <v>281</v>
      </c>
      <c r="E341" s="161">
        <v>39694</v>
      </c>
      <c r="F341" s="172" t="str">
        <f t="shared" si="14"/>
        <v>2008-09</v>
      </c>
      <c r="G341" s="68"/>
      <c r="H341" s="167" t="s">
        <v>293</v>
      </c>
      <c r="I341" s="173">
        <v>20414.77563211487</v>
      </c>
      <c r="J341" s="168">
        <f>IFERROR(MIN('MP Calculations'!$E$30/I341,1),"-")</f>
        <v>0.40513348981719682</v>
      </c>
      <c r="K341" s="12"/>
      <c r="L341" s="159">
        <v>8.9007780000000007</v>
      </c>
      <c r="M341" s="159" t="s">
        <v>294</v>
      </c>
      <c r="N341" s="159">
        <v>350</v>
      </c>
      <c r="O341" s="185">
        <f t="shared" si="16"/>
        <v>3115.2723000000001</v>
      </c>
      <c r="P341" s="215">
        <f t="shared" si="15"/>
        <v>1262.1011386298453</v>
      </c>
      <c r="Q341" s="215" cm="1">
        <f t="array" ref="Q341">IF(P341="-",0,P341/(1+'General inputs'!$H$32)^IFERROR(INDEX('MP Calculations'!$C$40:$C$130,MATCH(F341,'MP Calculations'!$D$40:$D$130,0),0),-1))</f>
        <v>2245.1337788103465</v>
      </c>
    </row>
    <row r="342" spans="3:17">
      <c r="C342" s="159"/>
      <c r="D342" s="165" t="s">
        <v>281</v>
      </c>
      <c r="E342" s="161">
        <v>39694</v>
      </c>
      <c r="F342" s="172" t="str">
        <f t="shared" ref="F342:F405" si="17">IF(E342="","-",IF(OR(E342&lt;$E$15,E342&gt;$E$16),"ERROR - date outside of range",IF(MONTH(E342)&gt;=7,YEAR(E342)&amp;"-"&amp;IF(YEAR(E342)=1999,"00",IF(AND(YEAR(E342)&gt;=2000,YEAR(E342)&lt;2009),"0","")&amp;RIGHT(YEAR(E342),2)+1),RIGHT(YEAR(E342),4)-1&amp;"-"&amp;RIGHT(YEAR(E342),2))))</f>
        <v>2008-09</v>
      </c>
      <c r="G342" s="68"/>
      <c r="H342" s="167" t="s">
        <v>293</v>
      </c>
      <c r="I342" s="173">
        <v>20414.77563211487</v>
      </c>
      <c r="J342" s="168">
        <f>IFERROR(MIN('MP Calculations'!$E$30/I342,1),"-")</f>
        <v>0.40513348981719682</v>
      </c>
      <c r="K342" s="12"/>
      <c r="L342" s="159">
        <v>66.907858000000004</v>
      </c>
      <c r="M342" s="159" t="s">
        <v>294</v>
      </c>
      <c r="N342" s="159">
        <v>350</v>
      </c>
      <c r="O342" s="185">
        <f t="shared" si="16"/>
        <v>23417.750300000003</v>
      </c>
      <c r="P342" s="215">
        <f t="shared" si="15"/>
        <v>9487.3149027067084</v>
      </c>
      <c r="Q342" s="215" cm="1">
        <f t="array" ref="Q342">IF(P342="-",0,P342/(1+'General inputs'!$H$32)^IFERROR(INDEX('MP Calculations'!$C$40:$C$130,MATCH(F342,'MP Calculations'!$D$40:$D$130,0),0),-1))</f>
        <v>16876.849648833628</v>
      </c>
    </row>
    <row r="343" spans="3:17">
      <c r="C343" s="159"/>
      <c r="D343" s="165" t="s">
        <v>303</v>
      </c>
      <c r="E343" s="161">
        <v>39753</v>
      </c>
      <c r="F343" s="172" t="str">
        <f t="shared" si="17"/>
        <v>2008-09</v>
      </c>
      <c r="G343" s="68"/>
      <c r="H343" s="167" t="s">
        <v>293</v>
      </c>
      <c r="I343" s="173">
        <v>20414.77563211487</v>
      </c>
      <c r="J343" s="168">
        <f>IFERROR(MIN('MP Calculations'!$E$30/I343,1),"-")</f>
        <v>0.40513348981719682</v>
      </c>
      <c r="K343" s="12"/>
      <c r="L343" s="159">
        <v>1</v>
      </c>
      <c r="M343" s="159" t="s">
        <v>295</v>
      </c>
      <c r="N343" s="159">
        <v>3969.41</v>
      </c>
      <c r="O343" s="185">
        <f t="shared" si="16"/>
        <v>3969.41</v>
      </c>
      <c r="P343" s="215">
        <f t="shared" ref="P343:P406" si="18">IF(O343="-","-",IF(OR(E343&lt;$E$15,E343&gt;$E$16),0,O343*J343))</f>
        <v>1608.1409258152792</v>
      </c>
      <c r="Q343" s="215" cm="1">
        <f t="array" ref="Q343">IF(P343="-",0,P343/(1+'General inputs'!$H$32)^IFERROR(INDEX('MP Calculations'!$C$40:$C$130,MATCH(F343,'MP Calculations'!$D$40:$D$130,0),0),-1))</f>
        <v>2860.6990383946782</v>
      </c>
    </row>
    <row r="344" spans="3:17">
      <c r="C344" s="159"/>
      <c r="D344" s="165" t="s">
        <v>304</v>
      </c>
      <c r="E344" s="161">
        <v>39783</v>
      </c>
      <c r="F344" s="172" t="str">
        <f t="shared" si="17"/>
        <v>2008-09</v>
      </c>
      <c r="G344" s="68"/>
      <c r="H344" s="167" t="s">
        <v>293</v>
      </c>
      <c r="I344" s="173">
        <v>20414.77563211487</v>
      </c>
      <c r="J344" s="168">
        <f>IFERROR(MIN('MP Calculations'!$E$30/I344,1),"-")</f>
        <v>0.40513348981719682</v>
      </c>
      <c r="K344" s="12"/>
      <c r="L344" s="159">
        <v>1</v>
      </c>
      <c r="M344" s="159" t="s">
        <v>295</v>
      </c>
      <c r="N344" s="159">
        <v>28766.79</v>
      </c>
      <c r="O344" s="185">
        <f t="shared" si="16"/>
        <v>28766.79</v>
      </c>
      <c r="P344" s="215">
        <f t="shared" si="18"/>
        <v>11654.390023538439</v>
      </c>
      <c r="Q344" s="215" cm="1">
        <f t="array" ref="Q344">IF(P344="-",0,P344/(1+'General inputs'!$H$32)^IFERROR(INDEX('MP Calculations'!$C$40:$C$130,MATCH(F344,'MP Calculations'!$D$40:$D$130,0),0),-1))</f>
        <v>20731.828783295663</v>
      </c>
    </row>
    <row r="345" spans="3:17">
      <c r="C345" s="159"/>
      <c r="D345" s="165" t="s">
        <v>305</v>
      </c>
      <c r="E345" s="161">
        <v>39814</v>
      </c>
      <c r="F345" s="172" t="str">
        <f t="shared" si="17"/>
        <v>2008-09</v>
      </c>
      <c r="G345" s="68"/>
      <c r="H345" s="167" t="s">
        <v>293</v>
      </c>
      <c r="I345" s="173">
        <v>20414.77563211487</v>
      </c>
      <c r="J345" s="168">
        <f>IFERROR(MIN('MP Calculations'!$E$30/I345,1),"-")</f>
        <v>0.40513348981719682</v>
      </c>
      <c r="K345" s="12"/>
      <c r="L345" s="159">
        <v>1</v>
      </c>
      <c r="M345" s="159" t="s">
        <v>295</v>
      </c>
      <c r="N345" s="159">
        <v>5604.96</v>
      </c>
      <c r="O345" s="185">
        <f t="shared" si="16"/>
        <v>5604.96</v>
      </c>
      <c r="P345" s="215">
        <f t="shared" si="18"/>
        <v>2270.7570050857953</v>
      </c>
      <c r="Q345" s="215" cm="1">
        <f t="array" ref="Q345">IF(P345="-",0,P345/(1+'General inputs'!$H$32)^IFERROR(INDEX('MP Calculations'!$C$40:$C$130,MATCH(F345,'MP Calculations'!$D$40:$D$130,0),0),-1))</f>
        <v>4039.4173648579094</v>
      </c>
    </row>
    <row r="346" spans="3:17">
      <c r="C346" s="159"/>
      <c r="D346" s="165" t="s">
        <v>281</v>
      </c>
      <c r="E346" s="161">
        <v>39878</v>
      </c>
      <c r="F346" s="172" t="str">
        <f t="shared" si="17"/>
        <v>2008-09</v>
      </c>
      <c r="G346" s="68"/>
      <c r="H346" s="167" t="s">
        <v>293</v>
      </c>
      <c r="I346" s="173">
        <v>20414.77563211487</v>
      </c>
      <c r="J346" s="168">
        <f>IFERROR(MIN('MP Calculations'!$E$30/I346,1),"-")</f>
        <v>0.40513348981719682</v>
      </c>
      <c r="K346" s="12"/>
      <c r="L346" s="159">
        <v>42.296782</v>
      </c>
      <c r="M346" s="159" t="s">
        <v>294</v>
      </c>
      <c r="N346" s="159">
        <v>350</v>
      </c>
      <c r="O346" s="185">
        <f t="shared" si="16"/>
        <v>14803.8737</v>
      </c>
      <c r="P346" s="215">
        <f t="shared" si="18"/>
        <v>5997.5450148940181</v>
      </c>
      <c r="Q346" s="215" cm="1">
        <f t="array" ref="Q346">IF(P346="-",0,P346/(1+'General inputs'!$H$32)^IFERROR(INDEX('MP Calculations'!$C$40:$C$130,MATCH(F346,'MP Calculations'!$D$40:$D$130,0),0),-1))</f>
        <v>10668.947591230502</v>
      </c>
    </row>
    <row r="347" spans="3:17">
      <c r="C347" s="159"/>
      <c r="D347" s="165" t="s">
        <v>281</v>
      </c>
      <c r="E347" s="161">
        <v>39878</v>
      </c>
      <c r="F347" s="172" t="str">
        <f t="shared" si="17"/>
        <v>2008-09</v>
      </c>
      <c r="G347" s="68"/>
      <c r="H347" s="167" t="s">
        <v>293</v>
      </c>
      <c r="I347" s="173">
        <v>20414.77563211487</v>
      </c>
      <c r="J347" s="168">
        <f>IFERROR(MIN('MP Calculations'!$E$30/I347,1),"-")</f>
        <v>0.40513348981719682</v>
      </c>
      <c r="K347" s="12"/>
      <c r="L347" s="159">
        <v>19.245438</v>
      </c>
      <c r="M347" s="159" t="s">
        <v>294</v>
      </c>
      <c r="N347" s="159">
        <v>350</v>
      </c>
      <c r="O347" s="185">
        <f t="shared" si="16"/>
        <v>6735.9032999999999</v>
      </c>
      <c r="P347" s="215">
        <f t="shared" si="18"/>
        <v>2728.9400110001725</v>
      </c>
      <c r="Q347" s="215" cm="1">
        <f t="array" ref="Q347">IF(P347="-",0,P347/(1+'General inputs'!$H$32)^IFERROR(INDEX('MP Calculations'!$C$40:$C$130,MATCH(F347,'MP Calculations'!$D$40:$D$130,0),0),-1))</f>
        <v>4854.4726024848878</v>
      </c>
    </row>
    <row r="348" spans="3:17">
      <c r="C348" s="159"/>
      <c r="D348" s="165" t="s">
        <v>281</v>
      </c>
      <c r="E348" s="161">
        <v>39878</v>
      </c>
      <c r="F348" s="172" t="str">
        <f t="shared" si="17"/>
        <v>2008-09</v>
      </c>
      <c r="G348" s="68"/>
      <c r="H348" s="167" t="s">
        <v>293</v>
      </c>
      <c r="I348" s="173">
        <v>20414.77563211487</v>
      </c>
      <c r="J348" s="168">
        <f>IFERROR(MIN('MP Calculations'!$E$30/I348,1),"-")</f>
        <v>0.40513348981719682</v>
      </c>
      <c r="K348" s="12"/>
      <c r="L348" s="159">
        <v>10.000626</v>
      </c>
      <c r="M348" s="159" t="s">
        <v>294</v>
      </c>
      <c r="N348" s="159">
        <v>350</v>
      </c>
      <c r="O348" s="185">
        <f t="shared" si="16"/>
        <v>3500.2191000000003</v>
      </c>
      <c r="P348" s="215">
        <f t="shared" si="18"/>
        <v>1418.0559791078078</v>
      </c>
      <c r="Q348" s="215" cm="1">
        <f t="array" ref="Q348">IF(P348="-",0,P348/(1+'General inputs'!$H$32)^IFERROR(INDEX('MP Calculations'!$C$40:$C$130,MATCH(F348,'MP Calculations'!$D$40:$D$130,0),0),-1))</f>
        <v>2522.5596281413827</v>
      </c>
    </row>
    <row r="349" spans="3:17">
      <c r="C349" s="159"/>
      <c r="D349" s="165" t="s">
        <v>281</v>
      </c>
      <c r="E349" s="161">
        <v>39878</v>
      </c>
      <c r="F349" s="172" t="str">
        <f t="shared" si="17"/>
        <v>2008-09</v>
      </c>
      <c r="G349" s="68"/>
      <c r="H349" s="167" t="s">
        <v>293</v>
      </c>
      <c r="I349" s="173">
        <v>20414.77563211487</v>
      </c>
      <c r="J349" s="168">
        <f>IFERROR(MIN('MP Calculations'!$E$30/I349,1),"-")</f>
        <v>0.40513348981719682</v>
      </c>
      <c r="K349" s="12"/>
      <c r="L349" s="159">
        <v>143.38693900000001</v>
      </c>
      <c r="M349" s="159" t="s">
        <v>294</v>
      </c>
      <c r="N349" s="159">
        <v>350</v>
      </c>
      <c r="O349" s="185">
        <f t="shared" si="16"/>
        <v>50185.428650000002</v>
      </c>
      <c r="P349" s="215">
        <f t="shared" si="18"/>
        <v>20331.797846946432</v>
      </c>
      <c r="Q349" s="215" cm="1">
        <f t="array" ref="Q349">IF(P349="-",0,P349/(1+'General inputs'!$H$32)^IFERROR(INDEX('MP Calculations'!$C$40:$C$130,MATCH(F349,'MP Calculations'!$D$40:$D$130,0),0),-1))</f>
        <v>36167.946238982549</v>
      </c>
    </row>
    <row r="350" spans="3:17">
      <c r="C350" s="159"/>
      <c r="D350" s="165" t="s">
        <v>281</v>
      </c>
      <c r="E350" s="161">
        <v>39878</v>
      </c>
      <c r="F350" s="172" t="str">
        <f t="shared" si="17"/>
        <v>2008-09</v>
      </c>
      <c r="G350" s="68"/>
      <c r="H350" s="167" t="s">
        <v>293</v>
      </c>
      <c r="I350" s="173">
        <v>20414.77563211487</v>
      </c>
      <c r="J350" s="168">
        <f>IFERROR(MIN('MP Calculations'!$E$30/I350,1),"-")</f>
        <v>0.40513348981719682</v>
      </c>
      <c r="K350" s="12"/>
      <c r="L350" s="159">
        <v>1.637961</v>
      </c>
      <c r="M350" s="159" t="s">
        <v>294</v>
      </c>
      <c r="N350" s="159">
        <v>350</v>
      </c>
      <c r="O350" s="185">
        <f t="shared" si="16"/>
        <v>573.28634999999997</v>
      </c>
      <c r="P350" s="215">
        <f t="shared" si="18"/>
        <v>232.25749964006292</v>
      </c>
      <c r="Q350" s="215" cm="1">
        <f t="array" ref="Q350">IF(P350="-",0,P350/(1+'General inputs'!$H$32)^IFERROR(INDEX('MP Calculations'!$C$40:$C$130,MATCH(F350,'MP Calculations'!$D$40:$D$130,0),0),-1))</f>
        <v>413.15956531821979</v>
      </c>
    </row>
    <row r="351" spans="3:17">
      <c r="C351" s="159"/>
      <c r="D351" s="165" t="s">
        <v>281</v>
      </c>
      <c r="E351" s="161">
        <v>39878</v>
      </c>
      <c r="F351" s="172" t="str">
        <f t="shared" si="17"/>
        <v>2008-09</v>
      </c>
      <c r="G351" s="68"/>
      <c r="H351" s="167" t="s">
        <v>293</v>
      </c>
      <c r="I351" s="173">
        <v>20414.77563211487</v>
      </c>
      <c r="J351" s="168">
        <f>IFERROR(MIN('MP Calculations'!$E$30/I351,1),"-")</f>
        <v>0.40513348981719682</v>
      </c>
      <c r="K351" s="12"/>
      <c r="L351" s="159">
        <v>145.66363799999999</v>
      </c>
      <c r="M351" s="159" t="s">
        <v>294</v>
      </c>
      <c r="N351" s="159">
        <v>350</v>
      </c>
      <c r="O351" s="185">
        <f t="shared" si="16"/>
        <v>50982.273300000001</v>
      </c>
      <c r="P351" s="215">
        <f t="shared" si="18"/>
        <v>20654.626300843094</v>
      </c>
      <c r="Q351" s="215" cm="1">
        <f t="array" ref="Q351">IF(P351="-",0,P351/(1+'General inputs'!$H$32)^IFERROR(INDEX('MP Calculations'!$C$40:$C$130,MATCH(F351,'MP Calculations'!$D$40:$D$130,0),0),-1))</f>
        <v>36742.221187653748</v>
      </c>
    </row>
    <row r="352" spans="3:17">
      <c r="C352" s="159"/>
      <c r="D352" s="165" t="s">
        <v>281</v>
      </c>
      <c r="E352" s="161">
        <v>39878</v>
      </c>
      <c r="F352" s="172" t="str">
        <f t="shared" si="17"/>
        <v>2008-09</v>
      </c>
      <c r="G352" s="68"/>
      <c r="H352" s="167" t="s">
        <v>293</v>
      </c>
      <c r="I352" s="173">
        <v>20414.77563211487</v>
      </c>
      <c r="J352" s="168">
        <f>IFERROR(MIN('MP Calculations'!$E$30/I352,1),"-")</f>
        <v>0.40513348981719682</v>
      </c>
      <c r="K352" s="12"/>
      <c r="L352" s="159">
        <v>1.583412</v>
      </c>
      <c r="M352" s="159" t="s">
        <v>294</v>
      </c>
      <c r="N352" s="159">
        <v>350</v>
      </c>
      <c r="O352" s="185">
        <f t="shared" si="16"/>
        <v>554.19420000000002</v>
      </c>
      <c r="P352" s="215">
        <f t="shared" si="18"/>
        <v>224.52263028244954</v>
      </c>
      <c r="Q352" s="215" cm="1">
        <f t="array" ref="Q352">IF(P352="-",0,P352/(1+'General inputs'!$H$32)^IFERROR(INDEX('MP Calculations'!$C$40:$C$130,MATCH(F352,'MP Calculations'!$D$40:$D$130,0),0),-1))</f>
        <v>399.40011614418972</v>
      </c>
    </row>
    <row r="353" spans="3:17">
      <c r="C353" s="159"/>
      <c r="D353" s="165" t="s">
        <v>281</v>
      </c>
      <c r="E353" s="161">
        <v>39878</v>
      </c>
      <c r="F353" s="172" t="str">
        <f t="shared" si="17"/>
        <v>2008-09</v>
      </c>
      <c r="G353" s="68"/>
      <c r="H353" s="167" t="s">
        <v>293</v>
      </c>
      <c r="I353" s="173">
        <v>20414.77563211487</v>
      </c>
      <c r="J353" s="168">
        <f>IFERROR(MIN('MP Calculations'!$E$30/I353,1),"-")</f>
        <v>0.40513348981719682</v>
      </c>
      <c r="K353" s="12"/>
      <c r="L353" s="159">
        <v>22.948644999999999</v>
      </c>
      <c r="M353" s="159" t="s">
        <v>294</v>
      </c>
      <c r="N353" s="159">
        <v>350</v>
      </c>
      <c r="O353" s="185">
        <f t="shared" si="16"/>
        <v>8032.0257499999998</v>
      </c>
      <c r="P353" s="215">
        <f t="shared" si="18"/>
        <v>3254.0426223990876</v>
      </c>
      <c r="Q353" s="215" cm="1">
        <f t="array" ref="Q353">IF(P353="-",0,P353/(1+'General inputs'!$H$32)^IFERROR(INDEX('MP Calculations'!$C$40:$C$130,MATCH(F353,'MP Calculations'!$D$40:$D$130,0),0),-1))</f>
        <v>5788.5701752618888</v>
      </c>
    </row>
    <row r="354" spans="3:17">
      <c r="C354" s="159"/>
      <c r="D354" s="165" t="s">
        <v>281</v>
      </c>
      <c r="E354" s="161">
        <v>39878</v>
      </c>
      <c r="F354" s="172" t="str">
        <f t="shared" si="17"/>
        <v>2008-09</v>
      </c>
      <c r="G354" s="68"/>
      <c r="H354" s="167" t="s">
        <v>293</v>
      </c>
      <c r="I354" s="173">
        <v>20414.77563211487</v>
      </c>
      <c r="J354" s="168">
        <f>IFERROR(MIN('MP Calculations'!$E$30/I354,1),"-")</f>
        <v>0.40513348981719682</v>
      </c>
      <c r="K354" s="12"/>
      <c r="L354" s="159">
        <v>108.368376</v>
      </c>
      <c r="M354" s="159" t="s">
        <v>294</v>
      </c>
      <c r="N354" s="159">
        <v>350</v>
      </c>
      <c r="O354" s="185">
        <f t="shared" si="16"/>
        <v>37928.931599999996</v>
      </c>
      <c r="P354" s="215">
        <f t="shared" si="18"/>
        <v>15366.280424145752</v>
      </c>
      <c r="Q354" s="215" cm="1">
        <f t="array" ref="Q354">IF(P354="-",0,P354/(1+'General inputs'!$H$32)^IFERROR(INDEX('MP Calculations'!$C$40:$C$130,MATCH(F354,'MP Calculations'!$D$40:$D$130,0),0),-1))</f>
        <v>27334.85786438224</v>
      </c>
    </row>
    <row r="355" spans="3:17">
      <c r="C355" s="159"/>
      <c r="D355" s="165" t="s">
        <v>281</v>
      </c>
      <c r="E355" s="161">
        <v>39878</v>
      </c>
      <c r="F355" s="172" t="str">
        <f t="shared" si="17"/>
        <v>2008-09</v>
      </c>
      <c r="G355" s="68"/>
      <c r="H355" s="167" t="s">
        <v>293</v>
      </c>
      <c r="I355" s="173">
        <v>20414.77563211487</v>
      </c>
      <c r="J355" s="168">
        <f>IFERROR(MIN('MP Calculations'!$E$30/I355,1),"-")</f>
        <v>0.40513348981719682</v>
      </c>
      <c r="K355" s="12"/>
      <c r="L355" s="159">
        <v>9.2547669999999993</v>
      </c>
      <c r="M355" s="159" t="s">
        <v>294</v>
      </c>
      <c r="N355" s="159">
        <v>350</v>
      </c>
      <c r="O355" s="185">
        <f t="shared" si="16"/>
        <v>3239.1684499999997</v>
      </c>
      <c r="P355" s="215">
        <f t="shared" si="18"/>
        <v>1312.29561825426</v>
      </c>
      <c r="Q355" s="215" cm="1">
        <f t="array" ref="Q355">IF(P355="-",0,P355/(1+'General inputs'!$H$32)^IFERROR(INDEX('MP Calculations'!$C$40:$C$130,MATCH(F355,'MP Calculations'!$D$40:$D$130,0),0),-1))</f>
        <v>2334.4240252615323</v>
      </c>
    </row>
    <row r="356" spans="3:17">
      <c r="C356" s="159"/>
      <c r="D356" s="165" t="s">
        <v>281</v>
      </c>
      <c r="E356" s="161">
        <v>39878</v>
      </c>
      <c r="F356" s="172" t="str">
        <f t="shared" si="17"/>
        <v>2008-09</v>
      </c>
      <c r="G356" s="68"/>
      <c r="H356" s="167" t="s">
        <v>293</v>
      </c>
      <c r="I356" s="173">
        <v>20414.77563211487</v>
      </c>
      <c r="J356" s="168">
        <f>IFERROR(MIN('MP Calculations'!$E$30/I356,1),"-")</f>
        <v>0.40513348981719682</v>
      </c>
      <c r="K356" s="12"/>
      <c r="L356" s="159">
        <v>0.41367300000000001</v>
      </c>
      <c r="M356" s="159" t="s">
        <v>294</v>
      </c>
      <c r="N356" s="159">
        <v>350</v>
      </c>
      <c r="O356" s="185">
        <f t="shared" si="16"/>
        <v>144.78555</v>
      </c>
      <c r="P356" s="215">
        <f t="shared" si="18"/>
        <v>58.657475146602245</v>
      </c>
      <c r="Q356" s="215" cm="1">
        <f t="array" ref="Q356">IF(P356="-",0,P356/(1+'General inputs'!$H$32)^IFERROR(INDEX('MP Calculations'!$C$40:$C$130,MATCH(F356,'MP Calculations'!$D$40:$D$130,0),0),-1))</f>
        <v>104.34494891141118</v>
      </c>
    </row>
    <row r="357" spans="3:17">
      <c r="C357" s="159"/>
      <c r="D357" s="165" t="s">
        <v>281</v>
      </c>
      <c r="E357" s="161">
        <v>39878</v>
      </c>
      <c r="F357" s="172" t="str">
        <f t="shared" si="17"/>
        <v>2008-09</v>
      </c>
      <c r="G357" s="68"/>
      <c r="H357" s="167" t="s">
        <v>293</v>
      </c>
      <c r="I357" s="173">
        <v>20414.77563211487</v>
      </c>
      <c r="J357" s="168">
        <f>IFERROR(MIN('MP Calculations'!$E$30/I357,1),"-")</f>
        <v>0.40513348981719682</v>
      </c>
      <c r="K357" s="12"/>
      <c r="L357" s="159">
        <v>35.830489</v>
      </c>
      <c r="M357" s="159" t="s">
        <v>294</v>
      </c>
      <c r="N357" s="159">
        <v>350</v>
      </c>
      <c r="O357" s="185">
        <f t="shared" si="16"/>
        <v>12540.67115</v>
      </c>
      <c r="P357" s="215">
        <f t="shared" si="18"/>
        <v>5080.6458676493394</v>
      </c>
      <c r="Q357" s="215" cm="1">
        <f t="array" ref="Q357">IF(P357="-",0,P357/(1+'General inputs'!$H$32)^IFERROR(INDEX('MP Calculations'!$C$40:$C$130,MATCH(F357,'MP Calculations'!$D$40:$D$130,0),0),-1))</f>
        <v>9037.8887289619579</v>
      </c>
    </row>
    <row r="358" spans="3:17">
      <c r="C358" s="159"/>
      <c r="D358" s="165" t="s">
        <v>281</v>
      </c>
      <c r="E358" s="161">
        <v>39878</v>
      </c>
      <c r="F358" s="172" t="str">
        <f t="shared" si="17"/>
        <v>2008-09</v>
      </c>
      <c r="G358" s="68"/>
      <c r="H358" s="167" t="s">
        <v>293</v>
      </c>
      <c r="I358" s="173">
        <v>20414.77563211487</v>
      </c>
      <c r="J358" s="168">
        <f>IFERROR(MIN('MP Calculations'!$E$30/I358,1),"-")</f>
        <v>0.40513348981719682</v>
      </c>
      <c r="K358" s="12"/>
      <c r="L358" s="159">
        <v>2.717517</v>
      </c>
      <c r="M358" s="159" t="s">
        <v>294</v>
      </c>
      <c r="N358" s="159">
        <v>350</v>
      </c>
      <c r="O358" s="185">
        <f t="shared" si="16"/>
        <v>951.13094999999998</v>
      </c>
      <c r="P358" s="215">
        <f t="shared" si="18"/>
        <v>385.33500104664574</v>
      </c>
      <c r="Q358" s="215" cm="1">
        <f t="array" ref="Q358">IF(P358="-",0,P358/(1+'General inputs'!$H$32)^IFERROR(INDEX('MP Calculations'!$C$40:$C$130,MATCH(F358,'MP Calculations'!$D$40:$D$130,0),0),-1))</f>
        <v>685.46695706727621</v>
      </c>
    </row>
    <row r="359" spans="3:17">
      <c r="C359" s="159"/>
      <c r="D359" s="165" t="s">
        <v>306</v>
      </c>
      <c r="E359" s="161">
        <v>39904</v>
      </c>
      <c r="F359" s="172" t="str">
        <f t="shared" si="17"/>
        <v>2008-09</v>
      </c>
      <c r="G359" s="68"/>
      <c r="H359" s="167" t="s">
        <v>293</v>
      </c>
      <c r="I359" s="173">
        <v>20414.77563211487</v>
      </c>
      <c r="J359" s="168">
        <f>IFERROR(MIN('MP Calculations'!$E$30/I359,1),"-")</f>
        <v>0.40513348981719682</v>
      </c>
      <c r="K359" s="12"/>
      <c r="L359" s="159">
        <v>1</v>
      </c>
      <c r="M359" s="159" t="s">
        <v>295</v>
      </c>
      <c r="N359" s="159">
        <v>12286.93</v>
      </c>
      <c r="O359" s="185">
        <f t="shared" si="16"/>
        <v>12286.93</v>
      </c>
      <c r="P359" s="215">
        <f t="shared" si="18"/>
        <v>4977.8468300396107</v>
      </c>
      <c r="Q359" s="215" cm="1">
        <f t="array" ref="Q359">IF(P359="-",0,P359/(1+'General inputs'!$H$32)^IFERROR(INDEX('MP Calculations'!$C$40:$C$130,MATCH(F359,'MP Calculations'!$D$40:$D$130,0),0),-1))</f>
        <v>8855.0209819148768</v>
      </c>
    </row>
    <row r="360" spans="3:17">
      <c r="C360" s="159"/>
      <c r="D360" s="165" t="s">
        <v>307</v>
      </c>
      <c r="E360" s="161">
        <v>39934</v>
      </c>
      <c r="F360" s="172" t="str">
        <f t="shared" si="17"/>
        <v>2008-09</v>
      </c>
      <c r="G360" s="68"/>
      <c r="H360" s="167" t="s">
        <v>293</v>
      </c>
      <c r="I360" s="173">
        <v>20414.77563211487</v>
      </c>
      <c r="J360" s="168">
        <f>IFERROR(MIN('MP Calculations'!$E$30/I360,1),"-")</f>
        <v>0.40513348981719682</v>
      </c>
      <c r="K360" s="12"/>
      <c r="L360" s="159">
        <v>1</v>
      </c>
      <c r="M360" s="159" t="s">
        <v>295</v>
      </c>
      <c r="N360" s="159">
        <v>3457.44</v>
      </c>
      <c r="O360" s="185">
        <f t="shared" si="16"/>
        <v>3457.44</v>
      </c>
      <c r="P360" s="215">
        <f t="shared" si="18"/>
        <v>1400.724733033569</v>
      </c>
      <c r="Q360" s="215" cm="1">
        <f t="array" ref="Q360">IF(P360="-",0,P360/(1+'General inputs'!$H$32)^IFERROR(INDEX('MP Calculations'!$C$40:$C$130,MATCH(F360,'MP Calculations'!$D$40:$D$130,0),0),-1))</f>
        <v>2491.7293208077012</v>
      </c>
    </row>
    <row r="361" spans="3:17">
      <c r="C361" s="159"/>
      <c r="D361" s="165" t="s">
        <v>308</v>
      </c>
      <c r="E361" s="161">
        <v>39965</v>
      </c>
      <c r="F361" s="172" t="str">
        <f t="shared" si="17"/>
        <v>2008-09</v>
      </c>
      <c r="G361" s="68"/>
      <c r="H361" s="167" t="s">
        <v>293</v>
      </c>
      <c r="I361" s="173">
        <v>20414.77563211487</v>
      </c>
      <c r="J361" s="168">
        <f>IFERROR(MIN('MP Calculations'!$E$30/I361,1),"-")</f>
        <v>0.40513348981719682</v>
      </c>
      <c r="K361" s="12"/>
      <c r="L361" s="159">
        <v>1</v>
      </c>
      <c r="M361" s="159" t="s">
        <v>295</v>
      </c>
      <c r="N361" s="159">
        <v>22935.7</v>
      </c>
      <c r="O361" s="185">
        <f t="shared" si="16"/>
        <v>22935.7</v>
      </c>
      <c r="P361" s="215">
        <f t="shared" si="18"/>
        <v>9292.0201824002816</v>
      </c>
      <c r="Q361" s="215" cm="1">
        <f t="array" ref="Q361">IF(P361="-",0,P361/(1+'General inputs'!$H$32)^IFERROR(INDEX('MP Calculations'!$C$40:$C$130,MATCH(F361,'MP Calculations'!$D$40:$D$130,0),0),-1))</f>
        <v>16529.442646365285</v>
      </c>
    </row>
    <row r="362" spans="3:17">
      <c r="C362" s="159"/>
      <c r="D362" s="165" t="s">
        <v>281</v>
      </c>
      <c r="E362" s="161">
        <v>39987</v>
      </c>
      <c r="F362" s="172" t="str">
        <f t="shared" si="17"/>
        <v>2008-09</v>
      </c>
      <c r="G362" s="68"/>
      <c r="H362" s="167" t="s">
        <v>293</v>
      </c>
      <c r="I362" s="173">
        <v>20414.77563211487</v>
      </c>
      <c r="J362" s="168">
        <f>IFERROR(MIN('MP Calculations'!$E$30/I362,1),"-")</f>
        <v>0.40513348981719682</v>
      </c>
      <c r="K362" s="12"/>
      <c r="L362" s="159">
        <v>11.952536</v>
      </c>
      <c r="M362" s="159" t="s">
        <v>294</v>
      </c>
      <c r="N362" s="159">
        <v>350</v>
      </c>
      <c r="O362" s="185">
        <f t="shared" si="16"/>
        <v>4183.3876</v>
      </c>
      <c r="P362" s="215">
        <f t="shared" si="18"/>
        <v>1694.8304176459874</v>
      </c>
      <c r="Q362" s="215" cm="1">
        <f t="array" ref="Q362">IF(P362="-",0,P362/(1+'General inputs'!$H$32)^IFERROR(INDEX('MP Calculations'!$C$40:$C$130,MATCH(F362,'MP Calculations'!$D$40:$D$130,0),0),-1))</f>
        <v>3014.9097434007122</v>
      </c>
    </row>
    <row r="363" spans="3:17">
      <c r="C363" s="159"/>
      <c r="D363" s="165" t="s">
        <v>281</v>
      </c>
      <c r="E363" s="161">
        <v>39987</v>
      </c>
      <c r="F363" s="172" t="str">
        <f t="shared" si="17"/>
        <v>2008-09</v>
      </c>
      <c r="G363" s="68"/>
      <c r="H363" s="167" t="s">
        <v>293</v>
      </c>
      <c r="I363" s="173">
        <v>20414.77563211487</v>
      </c>
      <c r="J363" s="168">
        <f>IFERROR(MIN('MP Calculations'!$E$30/I363,1),"-")</f>
        <v>0.40513348981719682</v>
      </c>
      <c r="K363" s="12"/>
      <c r="L363" s="159">
        <v>124.79111399999999</v>
      </c>
      <c r="M363" s="159" t="s">
        <v>294</v>
      </c>
      <c r="N363" s="159">
        <v>350</v>
      </c>
      <c r="O363" s="185">
        <f t="shared" si="16"/>
        <v>43676.889899999995</v>
      </c>
      <c r="P363" s="215">
        <f t="shared" si="18"/>
        <v>17694.970829548474</v>
      </c>
      <c r="Q363" s="215" cm="1">
        <f t="array" ref="Q363">IF(P363="-",0,P363/(1+'General inputs'!$H$32)^IFERROR(INDEX('MP Calculations'!$C$40:$C$130,MATCH(F363,'MP Calculations'!$D$40:$D$130,0),0),-1))</f>
        <v>31477.332131727439</v>
      </c>
    </row>
    <row r="364" spans="3:17">
      <c r="C364" s="159"/>
      <c r="D364" s="165" t="s">
        <v>281</v>
      </c>
      <c r="E364" s="161">
        <v>39987</v>
      </c>
      <c r="F364" s="172" t="str">
        <f t="shared" si="17"/>
        <v>2008-09</v>
      </c>
      <c r="G364" s="68"/>
      <c r="H364" s="167" t="s">
        <v>293</v>
      </c>
      <c r="I364" s="173">
        <v>20414.77563211487</v>
      </c>
      <c r="J364" s="168">
        <f>IFERROR(MIN('MP Calculations'!$E$30/I364,1),"-")</f>
        <v>0.40513348981719682</v>
      </c>
      <c r="K364" s="12"/>
      <c r="L364" s="159">
        <v>10.300285000000001</v>
      </c>
      <c r="M364" s="159" t="s">
        <v>294</v>
      </c>
      <c r="N364" s="159">
        <v>350</v>
      </c>
      <c r="O364" s="185">
        <f t="shared" si="16"/>
        <v>3605.0997500000003</v>
      </c>
      <c r="P364" s="215">
        <f t="shared" si="18"/>
        <v>1460.546642856604</v>
      </c>
      <c r="Q364" s="215" cm="1">
        <f t="array" ref="Q364">IF(P364="-",0,P364/(1+'General inputs'!$H$32)^IFERROR(INDEX('MP Calculations'!$C$40:$C$130,MATCH(F364,'MP Calculations'!$D$40:$D$130,0),0),-1))</f>
        <v>2598.145666016334</v>
      </c>
    </row>
    <row r="365" spans="3:17">
      <c r="C365" s="159"/>
      <c r="D365" s="165" t="s">
        <v>281</v>
      </c>
      <c r="E365" s="161">
        <v>39987</v>
      </c>
      <c r="F365" s="172" t="str">
        <f t="shared" si="17"/>
        <v>2008-09</v>
      </c>
      <c r="G365" s="68"/>
      <c r="H365" s="167" t="s">
        <v>293</v>
      </c>
      <c r="I365" s="173">
        <v>20414.77563211487</v>
      </c>
      <c r="J365" s="168">
        <f>IFERROR(MIN('MP Calculations'!$E$30/I365,1),"-")</f>
        <v>0.40513348981719682</v>
      </c>
      <c r="K365" s="12"/>
      <c r="L365" s="159">
        <v>89.353228999999999</v>
      </c>
      <c r="M365" s="159" t="s">
        <v>294</v>
      </c>
      <c r="N365" s="159">
        <v>350</v>
      </c>
      <c r="O365" s="185">
        <f t="shared" si="16"/>
        <v>31273.630150000001</v>
      </c>
      <c r="P365" s="215">
        <f t="shared" si="18"/>
        <v>12669.994921921805</v>
      </c>
      <c r="Q365" s="215" cm="1">
        <f t="array" ref="Q365">IF(P365="-",0,P365/(1+'General inputs'!$H$32)^IFERROR(INDEX('MP Calculations'!$C$40:$C$130,MATCH(F365,'MP Calculations'!$D$40:$D$130,0),0),-1))</f>
        <v>22538.473903480826</v>
      </c>
    </row>
    <row r="366" spans="3:17">
      <c r="C366" s="159"/>
      <c r="D366" s="165" t="s">
        <v>281</v>
      </c>
      <c r="E366" s="161">
        <v>39987</v>
      </c>
      <c r="F366" s="172" t="str">
        <f t="shared" si="17"/>
        <v>2008-09</v>
      </c>
      <c r="G366" s="68"/>
      <c r="H366" s="167" t="s">
        <v>293</v>
      </c>
      <c r="I366" s="173">
        <v>20414.77563211487</v>
      </c>
      <c r="J366" s="168">
        <f>IFERROR(MIN('MP Calculations'!$E$30/I366,1),"-")</f>
        <v>0.40513348981719682</v>
      </c>
      <c r="K366" s="12"/>
      <c r="L366" s="159">
        <v>196.657331</v>
      </c>
      <c r="M366" s="159" t="s">
        <v>294</v>
      </c>
      <c r="N366" s="159">
        <v>350</v>
      </c>
      <c r="O366" s="185">
        <f t="shared" si="16"/>
        <v>68830.065849999999</v>
      </c>
      <c r="P366" s="215">
        <f t="shared" si="18"/>
        <v>27885.364782157962</v>
      </c>
      <c r="Q366" s="215" cm="1">
        <f t="array" ref="Q366">IF(P366="-",0,P366/(1+'General inputs'!$H$32)^IFERROR(INDEX('MP Calculations'!$C$40:$C$130,MATCH(F366,'MP Calculations'!$D$40:$D$130,0),0),-1))</f>
        <v>49604.879110431371</v>
      </c>
    </row>
    <row r="367" spans="3:17">
      <c r="C367" s="159"/>
      <c r="D367" s="165" t="s">
        <v>281</v>
      </c>
      <c r="E367" s="161">
        <v>39987</v>
      </c>
      <c r="F367" s="172" t="str">
        <f t="shared" si="17"/>
        <v>2008-09</v>
      </c>
      <c r="G367" s="68"/>
      <c r="H367" s="167" t="s">
        <v>293</v>
      </c>
      <c r="I367" s="173">
        <v>20414.77563211487</v>
      </c>
      <c r="J367" s="168">
        <f>IFERROR(MIN('MP Calculations'!$E$30/I367,1),"-")</f>
        <v>0.40513348981719682</v>
      </c>
      <c r="K367" s="12"/>
      <c r="L367" s="159">
        <v>28.501211999999999</v>
      </c>
      <c r="M367" s="159" t="s">
        <v>294</v>
      </c>
      <c r="N367" s="159">
        <v>350</v>
      </c>
      <c r="O367" s="185">
        <f t="shared" si="16"/>
        <v>9975.4241999999995</v>
      </c>
      <c r="P367" s="215">
        <f t="shared" si="18"/>
        <v>4041.3784185529184</v>
      </c>
      <c r="Q367" s="215" cm="1">
        <f t="array" ref="Q367">IF(P367="-",0,P367/(1+'General inputs'!$H$32)^IFERROR(INDEX('MP Calculations'!$C$40:$C$130,MATCH(F367,'MP Calculations'!$D$40:$D$130,0),0),-1))</f>
        <v>7189.1506336002076</v>
      </c>
    </row>
    <row r="368" spans="3:17">
      <c r="C368" s="159"/>
      <c r="D368" s="165" t="s">
        <v>281</v>
      </c>
      <c r="E368" s="161">
        <v>39987</v>
      </c>
      <c r="F368" s="172" t="str">
        <f t="shared" si="17"/>
        <v>2008-09</v>
      </c>
      <c r="G368" s="68"/>
      <c r="H368" s="167" t="s">
        <v>293</v>
      </c>
      <c r="I368" s="173">
        <v>20414.77563211487</v>
      </c>
      <c r="J368" s="168">
        <f>IFERROR(MIN('MP Calculations'!$E$30/I368,1),"-")</f>
        <v>0.40513348981719682</v>
      </c>
      <c r="K368" s="12"/>
      <c r="L368" s="159">
        <v>11.735265999999999</v>
      </c>
      <c r="M368" s="159" t="s">
        <v>294</v>
      </c>
      <c r="N368" s="159">
        <v>350</v>
      </c>
      <c r="O368" s="185">
        <f t="shared" si="16"/>
        <v>4107.3431</v>
      </c>
      <c r="P368" s="215">
        <f t="shared" si="18"/>
        <v>1664.0222439795837</v>
      </c>
      <c r="Q368" s="215" cm="1">
        <f t="array" ref="Q368">IF(P368="-",0,P368/(1+'General inputs'!$H$32)^IFERROR(INDEX('MP Calculations'!$C$40:$C$130,MATCH(F368,'MP Calculations'!$D$40:$D$130,0),0),-1))</f>
        <v>2960.1055211044004</v>
      </c>
    </row>
    <row r="369" spans="3:17">
      <c r="C369" s="159"/>
      <c r="D369" s="165" t="s">
        <v>281</v>
      </c>
      <c r="E369" s="161">
        <v>39987</v>
      </c>
      <c r="F369" s="172" t="str">
        <f t="shared" si="17"/>
        <v>2008-09</v>
      </c>
      <c r="G369" s="68"/>
      <c r="H369" s="167" t="s">
        <v>293</v>
      </c>
      <c r="I369" s="173">
        <v>20414.77563211487</v>
      </c>
      <c r="J369" s="168">
        <f>IFERROR(MIN('MP Calculations'!$E$30/I369,1),"-")</f>
        <v>0.40513348981719682</v>
      </c>
      <c r="K369" s="12"/>
      <c r="L369" s="159">
        <v>11.816761</v>
      </c>
      <c r="M369" s="159" t="s">
        <v>294</v>
      </c>
      <c r="N369" s="159">
        <v>350</v>
      </c>
      <c r="O369" s="185">
        <f t="shared" si="16"/>
        <v>4135.8663500000002</v>
      </c>
      <c r="P369" s="215">
        <f t="shared" si="18"/>
        <v>1675.577967793012</v>
      </c>
      <c r="Q369" s="215" cm="1">
        <f t="array" ref="Q369">IF(P369="-",0,P369/(1+'General inputs'!$H$32)^IFERROR(INDEX('MP Calculations'!$C$40:$C$130,MATCH(F369,'MP Calculations'!$D$40:$D$130,0),0),-1))</f>
        <v>2980.6618339687529</v>
      </c>
    </row>
    <row r="370" spans="3:17">
      <c r="C370" s="159"/>
      <c r="D370" s="165" t="s">
        <v>281</v>
      </c>
      <c r="E370" s="161">
        <v>39987</v>
      </c>
      <c r="F370" s="172" t="str">
        <f t="shared" si="17"/>
        <v>2008-09</v>
      </c>
      <c r="G370" s="68"/>
      <c r="H370" s="167" t="s">
        <v>293</v>
      </c>
      <c r="I370" s="173">
        <v>20414.77563211487</v>
      </c>
      <c r="J370" s="168">
        <f>IFERROR(MIN('MP Calculations'!$E$30/I370,1),"-")</f>
        <v>0.40513348981719682</v>
      </c>
      <c r="K370" s="12"/>
      <c r="L370" s="159">
        <v>0.13111300000000001</v>
      </c>
      <c r="M370" s="159" t="s">
        <v>294</v>
      </c>
      <c r="N370" s="159">
        <v>350</v>
      </c>
      <c r="O370" s="185">
        <f t="shared" si="16"/>
        <v>45.88955</v>
      </c>
      <c r="P370" s="215">
        <f t="shared" si="18"/>
        <v>18.591393537640744</v>
      </c>
      <c r="Q370" s="215" cm="1">
        <f t="array" ref="Q370">IF(P370="-",0,P370/(1+'General inputs'!$H$32)^IFERROR(INDEX('MP Calculations'!$C$40:$C$130,MATCH(F370,'MP Calculations'!$D$40:$D$130,0),0),-1))</f>
        <v>33.071965747394323</v>
      </c>
    </row>
    <row r="371" spans="3:17">
      <c r="C371" s="159"/>
      <c r="D371" s="165" t="s">
        <v>281</v>
      </c>
      <c r="E371" s="161">
        <v>39987</v>
      </c>
      <c r="F371" s="172" t="str">
        <f t="shared" si="17"/>
        <v>2008-09</v>
      </c>
      <c r="G371" s="68"/>
      <c r="H371" s="167" t="s">
        <v>293</v>
      </c>
      <c r="I371" s="173">
        <v>20414.77563211487</v>
      </c>
      <c r="J371" s="168">
        <f>IFERROR(MIN('MP Calculations'!$E$30/I371,1),"-")</f>
        <v>0.40513348981719682</v>
      </c>
      <c r="K371" s="12"/>
      <c r="L371" s="159">
        <v>0.25548500000000002</v>
      </c>
      <c r="M371" s="159" t="s">
        <v>294</v>
      </c>
      <c r="N371" s="159">
        <v>350</v>
      </c>
      <c r="O371" s="185">
        <f t="shared" si="16"/>
        <v>89.419750000000008</v>
      </c>
      <c r="P371" s="215">
        <f t="shared" si="18"/>
        <v>36.226935376081286</v>
      </c>
      <c r="Q371" s="215" cm="1">
        <f t="array" ref="Q371">IF(P371="-",0,P371/(1+'General inputs'!$H$32)^IFERROR(INDEX('MP Calculations'!$C$40:$C$130,MATCH(F371,'MP Calculations'!$D$40:$D$130,0),0),-1))</f>
        <v>64.443580491431362</v>
      </c>
    </row>
    <row r="372" spans="3:17">
      <c r="C372" s="159"/>
      <c r="D372" s="165" t="s">
        <v>310</v>
      </c>
      <c r="E372" s="161">
        <v>39995</v>
      </c>
      <c r="F372" s="172" t="str">
        <f t="shared" si="17"/>
        <v>2009-10</v>
      </c>
      <c r="G372" s="68"/>
      <c r="H372" s="167" t="s">
        <v>293</v>
      </c>
      <c r="I372" s="173">
        <v>20414.77563211487</v>
      </c>
      <c r="J372" s="168">
        <f>IFERROR(MIN('MP Calculations'!$E$30/I372,1),"-")</f>
        <v>0.40513348981719682</v>
      </c>
      <c r="K372" s="12"/>
      <c r="L372" s="159">
        <v>1</v>
      </c>
      <c r="M372" s="159" t="s">
        <v>295</v>
      </c>
      <c r="N372" s="159">
        <v>32757.200000000001</v>
      </c>
      <c r="O372" s="185">
        <f t="shared" si="16"/>
        <v>32757.200000000001</v>
      </c>
      <c r="P372" s="215">
        <f t="shared" si="18"/>
        <v>13271.038752639881</v>
      </c>
      <c r="Q372" s="215" cm="1">
        <f t="array" ref="Q372">IF(P372="-",0,P372/(1+'General inputs'!$H$32)^IFERROR(INDEX('MP Calculations'!$C$40:$C$130,MATCH(F372,'MP Calculations'!$D$40:$D$130,0),0),-1))</f>
        <v>22656.105788910849</v>
      </c>
    </row>
    <row r="373" spans="3:17">
      <c r="C373" s="159"/>
      <c r="D373" s="165" t="s">
        <v>312</v>
      </c>
      <c r="E373" s="161">
        <v>39995</v>
      </c>
      <c r="F373" s="172" t="str">
        <f t="shared" si="17"/>
        <v>2009-10</v>
      </c>
      <c r="G373" s="68"/>
      <c r="H373" s="167" t="s">
        <v>293</v>
      </c>
      <c r="I373" s="173">
        <v>20414.77563211487</v>
      </c>
      <c r="J373" s="168">
        <f>IFERROR(MIN('MP Calculations'!$E$30/I373,1),"-")</f>
        <v>0.40513348981719682</v>
      </c>
      <c r="K373" s="12"/>
      <c r="L373" s="159">
        <v>1</v>
      </c>
      <c r="M373" s="159" t="s">
        <v>295</v>
      </c>
      <c r="N373" s="159">
        <v>32886.019999999997</v>
      </c>
      <c r="O373" s="185">
        <f t="shared" si="16"/>
        <v>32886.019999999997</v>
      </c>
      <c r="P373" s="215">
        <f t="shared" si="18"/>
        <v>13323.22804879813</v>
      </c>
      <c r="Q373" s="215" cm="1">
        <f t="array" ref="Q373">IF(P373="-",0,P373/(1+'General inputs'!$H$32)^IFERROR(INDEX('MP Calculations'!$C$40:$C$130,MATCH(F373,'MP Calculations'!$D$40:$D$130,0),0),-1))</f>
        <v>22745.202523299849</v>
      </c>
    </row>
    <row r="374" spans="3:17">
      <c r="C374" s="159"/>
      <c r="D374" s="165" t="s">
        <v>311</v>
      </c>
      <c r="E374" s="161">
        <v>39995</v>
      </c>
      <c r="F374" s="172" t="str">
        <f t="shared" si="17"/>
        <v>2009-10</v>
      </c>
      <c r="G374" s="68"/>
      <c r="H374" s="167" t="s">
        <v>293</v>
      </c>
      <c r="I374" s="173">
        <v>20414.77563211487</v>
      </c>
      <c r="J374" s="168">
        <f>IFERROR(MIN('MP Calculations'!$E$30/I374,1),"-")</f>
        <v>0.40513348981719682</v>
      </c>
      <c r="K374" s="12"/>
      <c r="L374" s="159">
        <v>1</v>
      </c>
      <c r="M374" s="159" t="s">
        <v>295</v>
      </c>
      <c r="N374" s="159">
        <v>1210.6500000000001</v>
      </c>
      <c r="O374" s="185">
        <f t="shared" si="16"/>
        <v>1210.6500000000001</v>
      </c>
      <c r="P374" s="215">
        <f t="shared" si="18"/>
        <v>490.47485944718937</v>
      </c>
      <c r="Q374" s="215" cm="1">
        <f t="array" ref="Q374">IF(P374="-",0,P374/(1+'General inputs'!$H$32)^IFERROR(INDEX('MP Calculations'!$C$40:$C$130,MATCH(F374,'MP Calculations'!$D$40:$D$130,0),0),-1))</f>
        <v>837.33086079838688</v>
      </c>
    </row>
    <row r="375" spans="3:17">
      <c r="C375" s="159"/>
      <c r="D375" s="165" t="s">
        <v>314</v>
      </c>
      <c r="E375" s="161">
        <v>39995</v>
      </c>
      <c r="F375" s="172" t="str">
        <f t="shared" si="17"/>
        <v>2009-10</v>
      </c>
      <c r="G375" s="68"/>
      <c r="H375" s="167" t="s">
        <v>293</v>
      </c>
      <c r="I375" s="173">
        <v>20414.77563211487</v>
      </c>
      <c r="J375" s="168">
        <f>IFERROR(MIN('MP Calculations'!$E$30/I375,1),"-")</f>
        <v>0.40513348981719682</v>
      </c>
      <c r="K375" s="12"/>
      <c r="L375" s="159">
        <v>1</v>
      </c>
      <c r="M375" s="159" t="s">
        <v>295</v>
      </c>
      <c r="N375" s="159">
        <v>7367.22</v>
      </c>
      <c r="O375" s="185">
        <f t="shared" si="16"/>
        <v>7367.22</v>
      </c>
      <c r="P375" s="215">
        <f t="shared" si="18"/>
        <v>2984.7075488510491</v>
      </c>
      <c r="Q375" s="215" cm="1">
        <f t="array" ref="Q375">IF(P375="-",0,P375/(1+'General inputs'!$H$32)^IFERROR(INDEX('MP Calculations'!$C$40:$C$130,MATCH(F375,'MP Calculations'!$D$40:$D$130,0),0),-1))</f>
        <v>5095.4451445843906</v>
      </c>
    </row>
    <row r="376" spans="3:17">
      <c r="C376" s="159"/>
      <c r="D376" s="165" t="s">
        <v>313</v>
      </c>
      <c r="E376" s="161">
        <v>39995</v>
      </c>
      <c r="F376" s="172" t="str">
        <f t="shared" si="17"/>
        <v>2009-10</v>
      </c>
      <c r="G376" s="68"/>
      <c r="H376" s="167" t="s">
        <v>293</v>
      </c>
      <c r="I376" s="173">
        <v>20414.77563211487</v>
      </c>
      <c r="J376" s="168">
        <f>IFERROR(MIN('MP Calculations'!$E$30/I376,1),"-")</f>
        <v>0.40513348981719682</v>
      </c>
      <c r="K376" s="12"/>
      <c r="L376" s="159">
        <v>1</v>
      </c>
      <c r="M376" s="159" t="s">
        <v>295</v>
      </c>
      <c r="N376" s="159">
        <v>29594.62</v>
      </c>
      <c r="O376" s="185">
        <f t="shared" si="16"/>
        <v>29594.62</v>
      </c>
      <c r="P376" s="215">
        <f t="shared" si="18"/>
        <v>11989.771680413809</v>
      </c>
      <c r="Q376" s="215" cm="1">
        <f t="array" ref="Q376">IF(P376="-",0,P376/(1+'General inputs'!$H$32)^IFERROR(INDEX('MP Calculations'!$C$40:$C$130,MATCH(F376,'MP Calculations'!$D$40:$D$130,0),0),-1))</f>
        <v>20468.74706942647</v>
      </c>
    </row>
    <row r="377" spans="3:17">
      <c r="C377" s="159"/>
      <c r="D377" s="165" t="s">
        <v>309</v>
      </c>
      <c r="E377" s="161">
        <v>39995</v>
      </c>
      <c r="F377" s="172" t="str">
        <f t="shared" si="17"/>
        <v>2009-10</v>
      </c>
      <c r="G377" s="68"/>
      <c r="H377" s="167" t="s">
        <v>293</v>
      </c>
      <c r="I377" s="173">
        <v>20414.77563211487</v>
      </c>
      <c r="J377" s="168">
        <f>IFERROR(MIN('MP Calculations'!$E$30/I377,1),"-")</f>
        <v>0.40513348981719682</v>
      </c>
      <c r="K377" s="12"/>
      <c r="L377" s="159">
        <v>1</v>
      </c>
      <c r="M377" s="159" t="s">
        <v>295</v>
      </c>
      <c r="N377" s="159">
        <v>27544.49</v>
      </c>
      <c r="O377" s="185">
        <f t="shared" si="16"/>
        <v>27544.49</v>
      </c>
      <c r="P377" s="215">
        <f t="shared" si="18"/>
        <v>11159.19535893488</v>
      </c>
      <c r="Q377" s="215" cm="1">
        <f t="array" ref="Q377">IF(P377="-",0,P377/(1+'General inputs'!$H$32)^IFERROR(INDEX('MP Calculations'!$C$40:$C$130,MATCH(F377,'MP Calculations'!$D$40:$D$130,0),0),-1))</f>
        <v>19050.800414614099</v>
      </c>
    </row>
    <row r="378" spans="3:17">
      <c r="C378" s="159"/>
      <c r="D378" s="165" t="s">
        <v>282</v>
      </c>
      <c r="E378" s="161">
        <v>40028</v>
      </c>
      <c r="F378" s="172" t="str">
        <f t="shared" si="17"/>
        <v>2009-10</v>
      </c>
      <c r="G378" s="68"/>
      <c r="H378" s="167" t="s">
        <v>293</v>
      </c>
      <c r="I378" s="173">
        <v>20414.77563211487</v>
      </c>
      <c r="J378" s="168">
        <f>IFERROR(MIN('MP Calculations'!$E$30/I378,1),"-")</f>
        <v>0.40513348981719682</v>
      </c>
      <c r="K378" s="12"/>
      <c r="L378" s="159">
        <v>5.5027629999999998</v>
      </c>
      <c r="M378" s="159" t="s">
        <v>294</v>
      </c>
      <c r="N378" s="159">
        <v>511</v>
      </c>
      <c r="O378" s="185">
        <f t="shared" si="16"/>
        <v>2811.911893</v>
      </c>
      <c r="P378" s="215">
        <f t="shared" si="18"/>
        <v>1139.1996782695701</v>
      </c>
      <c r="Q378" s="215" cm="1">
        <f t="array" ref="Q378">IF(P378="-",0,P378/(1+'General inputs'!$H$32)^IFERROR(INDEX('MP Calculations'!$C$40:$C$130,MATCH(F378,'MP Calculations'!$D$40:$D$130,0),0),-1))</f>
        <v>1944.8235293890978</v>
      </c>
    </row>
    <row r="379" spans="3:17">
      <c r="C379" s="159"/>
      <c r="D379" s="165" t="s">
        <v>282</v>
      </c>
      <c r="E379" s="161">
        <v>40028</v>
      </c>
      <c r="F379" s="172" t="str">
        <f t="shared" si="17"/>
        <v>2009-10</v>
      </c>
      <c r="G379" s="68"/>
      <c r="H379" s="167" t="s">
        <v>293</v>
      </c>
      <c r="I379" s="173">
        <v>20414.77563211487</v>
      </c>
      <c r="J379" s="168">
        <f>IFERROR(MIN('MP Calculations'!$E$30/I379,1),"-")</f>
        <v>0.40513348981719682</v>
      </c>
      <c r="K379" s="12"/>
      <c r="L379" s="159">
        <v>5.4985650000000001</v>
      </c>
      <c r="M379" s="159" t="s">
        <v>294</v>
      </c>
      <c r="N379" s="159">
        <v>511</v>
      </c>
      <c r="O379" s="185">
        <f t="shared" si="16"/>
        <v>2809.7667150000002</v>
      </c>
      <c r="P379" s="215">
        <f t="shared" si="18"/>
        <v>1138.3305948201512</v>
      </c>
      <c r="Q379" s="215" cm="1">
        <f t="array" ref="Q379">IF(P379="-",0,P379/(1+'General inputs'!$H$32)^IFERROR(INDEX('MP Calculations'!$C$40:$C$130,MATCH(F379,'MP Calculations'!$D$40:$D$130,0),0),-1))</f>
        <v>1943.3398439793548</v>
      </c>
    </row>
    <row r="380" spans="3:17">
      <c r="C380" s="159"/>
      <c r="D380" s="165" t="s">
        <v>315</v>
      </c>
      <c r="E380" s="161">
        <v>40086</v>
      </c>
      <c r="F380" s="172" t="str">
        <f t="shared" si="17"/>
        <v>2009-10</v>
      </c>
      <c r="G380" s="68"/>
      <c r="H380" s="167" t="s">
        <v>293</v>
      </c>
      <c r="I380" s="173">
        <v>20414.77563211487</v>
      </c>
      <c r="J380" s="168">
        <f>IFERROR(MIN('MP Calculations'!$E$30/I380,1),"-")</f>
        <v>0.40513348981719682</v>
      </c>
      <c r="K380" s="12"/>
      <c r="L380" s="159">
        <v>1</v>
      </c>
      <c r="M380" s="159" t="s">
        <v>295</v>
      </c>
      <c r="N380" s="159">
        <v>13351.49</v>
      </c>
      <c r="O380" s="185">
        <f t="shared" si="16"/>
        <v>13351.49</v>
      </c>
      <c r="P380" s="215">
        <f t="shared" si="18"/>
        <v>5409.1357379594056</v>
      </c>
      <c r="Q380" s="215" cm="1">
        <f t="array" ref="Q380">IF(P380="-",0,P380/(1+'General inputs'!$H$32)^IFERROR(INDEX('MP Calculations'!$C$40:$C$130,MATCH(F380,'MP Calculations'!$D$40:$D$130,0),0),-1))</f>
        <v>9234.3902983034368</v>
      </c>
    </row>
    <row r="381" spans="3:17">
      <c r="C381" s="159"/>
      <c r="D381" s="165" t="s">
        <v>316</v>
      </c>
      <c r="E381" s="161">
        <v>40148</v>
      </c>
      <c r="F381" s="172" t="str">
        <f t="shared" si="17"/>
        <v>2009-10</v>
      </c>
      <c r="G381" s="68"/>
      <c r="H381" s="167" t="s">
        <v>293</v>
      </c>
      <c r="I381" s="173">
        <v>20414.77563211487</v>
      </c>
      <c r="J381" s="168">
        <f>IFERROR(MIN('MP Calculations'!$E$30/I381,1),"-")</f>
        <v>0.40513348981719682</v>
      </c>
      <c r="K381" s="12"/>
      <c r="L381" s="159">
        <v>1</v>
      </c>
      <c r="M381" s="159" t="s">
        <v>295</v>
      </c>
      <c r="N381" s="159">
        <v>29129.81</v>
      </c>
      <c r="O381" s="185">
        <f t="shared" si="16"/>
        <v>29129.81</v>
      </c>
      <c r="P381" s="215">
        <f t="shared" si="18"/>
        <v>11801.461583011878</v>
      </c>
      <c r="Q381" s="215" cm="1">
        <f t="array" ref="Q381">IF(P381="-",0,P381/(1+'General inputs'!$H$32)^IFERROR(INDEX('MP Calculations'!$C$40:$C$130,MATCH(F381,'MP Calculations'!$D$40:$D$130,0),0),-1))</f>
        <v>20147.267073219722</v>
      </c>
    </row>
    <row r="382" spans="3:17">
      <c r="C382" s="159"/>
      <c r="D382" s="165" t="s">
        <v>318</v>
      </c>
      <c r="E382" s="161">
        <v>40210</v>
      </c>
      <c r="F382" s="172" t="str">
        <f t="shared" si="17"/>
        <v>2009-10</v>
      </c>
      <c r="G382" s="68"/>
      <c r="H382" s="167" t="s">
        <v>293</v>
      </c>
      <c r="I382" s="173">
        <v>20414.77563211487</v>
      </c>
      <c r="J382" s="168">
        <f>IFERROR(MIN('MP Calculations'!$E$30/I382,1),"-")</f>
        <v>0.40513348981719682</v>
      </c>
      <c r="K382" s="12"/>
      <c r="L382" s="159">
        <v>1</v>
      </c>
      <c r="M382" s="159" t="s">
        <v>295</v>
      </c>
      <c r="N382" s="159">
        <v>3119.28</v>
      </c>
      <c r="O382" s="185">
        <f t="shared" si="16"/>
        <v>3119.28</v>
      </c>
      <c r="P382" s="215">
        <f t="shared" si="18"/>
        <v>1263.7247921169858</v>
      </c>
      <c r="Q382" s="215" cm="1">
        <f t="array" ref="Q382">IF(P382="-",0,P382/(1+'General inputs'!$H$32)^IFERROR(INDEX('MP Calculations'!$C$40:$C$130,MATCH(F382,'MP Calculations'!$D$40:$D$130,0),0),-1))</f>
        <v>2157.4108185447421</v>
      </c>
    </row>
    <row r="383" spans="3:17">
      <c r="C383" s="159"/>
      <c r="D383" s="165" t="s">
        <v>317</v>
      </c>
      <c r="E383" s="161">
        <v>40210</v>
      </c>
      <c r="F383" s="172" t="str">
        <f t="shared" si="17"/>
        <v>2009-10</v>
      </c>
      <c r="G383" s="68"/>
      <c r="H383" s="167" t="s">
        <v>293</v>
      </c>
      <c r="I383" s="173">
        <v>20414.77563211487</v>
      </c>
      <c r="J383" s="168">
        <f>IFERROR(MIN('MP Calculations'!$E$30/I383,1),"-")</f>
        <v>0.40513348981719682</v>
      </c>
      <c r="K383" s="12"/>
      <c r="L383" s="159">
        <v>1</v>
      </c>
      <c r="M383" s="159" t="s">
        <v>295</v>
      </c>
      <c r="N383" s="159">
        <v>3946.17</v>
      </c>
      <c r="O383" s="185">
        <f t="shared" si="16"/>
        <v>3946.17</v>
      </c>
      <c r="P383" s="215">
        <f t="shared" si="18"/>
        <v>1598.7256235119276</v>
      </c>
      <c r="Q383" s="215" cm="1">
        <f t="array" ref="Q383">IF(P383="-",0,P383/(1+'General inputs'!$H$32)^IFERROR(INDEX('MP Calculations'!$C$40:$C$130,MATCH(F383,'MP Calculations'!$D$40:$D$130,0),0),-1))</f>
        <v>2729.3188972508738</v>
      </c>
    </row>
    <row r="384" spans="3:17">
      <c r="C384" s="159"/>
      <c r="D384" s="165" t="s">
        <v>319</v>
      </c>
      <c r="E384" s="161">
        <v>40213</v>
      </c>
      <c r="F384" s="172" t="str">
        <f t="shared" si="17"/>
        <v>2009-10</v>
      </c>
      <c r="G384" s="68"/>
      <c r="H384" s="167" t="s">
        <v>293</v>
      </c>
      <c r="I384" s="173">
        <v>20414.77563211487</v>
      </c>
      <c r="J384" s="168">
        <f>IFERROR(MIN('MP Calculations'!$E$30/I384,1),"-")</f>
        <v>0.40513348981719682</v>
      </c>
      <c r="K384" s="12"/>
      <c r="L384" s="159">
        <v>1</v>
      </c>
      <c r="M384" s="159" t="s">
        <v>295</v>
      </c>
      <c r="N384" s="159">
        <v>9115.9599999999991</v>
      </c>
      <c r="O384" s="185">
        <f t="shared" si="16"/>
        <v>9115.9599999999991</v>
      </c>
      <c r="P384" s="215">
        <f t="shared" si="18"/>
        <v>3693.180687833973</v>
      </c>
      <c r="Q384" s="215" cm="1">
        <f t="array" ref="Q384">IF(P384="-",0,P384/(1+'General inputs'!$H$32)^IFERROR(INDEX('MP Calculations'!$C$40:$C$130,MATCH(F384,'MP Calculations'!$D$40:$D$130,0),0),-1))</f>
        <v>6304.9391928333225</v>
      </c>
    </row>
    <row r="385" spans="3:17">
      <c r="C385" s="159"/>
      <c r="D385" s="165" t="s">
        <v>320</v>
      </c>
      <c r="E385" s="161">
        <v>40237</v>
      </c>
      <c r="F385" s="172" t="str">
        <f t="shared" si="17"/>
        <v>2009-10</v>
      </c>
      <c r="G385" s="68"/>
      <c r="H385" s="167" t="s">
        <v>293</v>
      </c>
      <c r="I385" s="173">
        <v>20414.77563211487</v>
      </c>
      <c r="J385" s="168">
        <f>IFERROR(MIN('MP Calculations'!$E$30/I385,1),"-")</f>
        <v>0.40513348981719682</v>
      </c>
      <c r="K385" s="12"/>
      <c r="L385" s="159">
        <v>1</v>
      </c>
      <c r="M385" s="159" t="s">
        <v>295</v>
      </c>
      <c r="N385" s="159">
        <v>7409.98</v>
      </c>
      <c r="O385" s="185">
        <f t="shared" ref="O385:O541" si="19">IF(N385="","-",L385*N385)</f>
        <v>7409.98</v>
      </c>
      <c r="P385" s="215">
        <f t="shared" si="18"/>
        <v>3002.0310568756317</v>
      </c>
      <c r="Q385" s="215" cm="1">
        <f t="array" ref="Q385">IF(P385="-",0,P385/(1+'General inputs'!$H$32)^IFERROR(INDEX('MP Calculations'!$C$40:$C$130,MATCH(F385,'MP Calculations'!$D$40:$D$130,0),0),-1))</f>
        <v>5125.0195613090737</v>
      </c>
    </row>
    <row r="386" spans="3:17">
      <c r="C386" s="159"/>
      <c r="D386" s="165" t="s">
        <v>281</v>
      </c>
      <c r="E386" s="161">
        <v>40239</v>
      </c>
      <c r="F386" s="172" t="str">
        <f t="shared" si="17"/>
        <v>2009-10</v>
      </c>
      <c r="G386" s="68"/>
      <c r="H386" s="167" t="s">
        <v>293</v>
      </c>
      <c r="I386" s="173">
        <v>20414.77563211487</v>
      </c>
      <c r="J386" s="168">
        <f>IFERROR(MIN('MP Calculations'!$E$30/I386,1),"-")</f>
        <v>0.40513348981719682</v>
      </c>
      <c r="K386" s="12"/>
      <c r="L386" s="159">
        <v>0.2014</v>
      </c>
      <c r="M386" s="159" t="s">
        <v>294</v>
      </c>
      <c r="N386" s="159">
        <v>350</v>
      </c>
      <c r="O386" s="185">
        <f t="shared" si="19"/>
        <v>70.489999999999995</v>
      </c>
      <c r="P386" s="215">
        <f t="shared" si="18"/>
        <v>28.557859697214202</v>
      </c>
      <c r="Q386" s="215" cm="1">
        <f t="array" ref="Q386">IF(P386="-",0,P386/(1+'General inputs'!$H$32)^IFERROR(INDEX('MP Calculations'!$C$40:$C$130,MATCH(F386,'MP Calculations'!$D$40:$D$130,0),0),-1))</f>
        <v>48.753522799882944</v>
      </c>
    </row>
    <row r="387" spans="3:17">
      <c r="C387" s="159"/>
      <c r="D387" s="165" t="s">
        <v>281</v>
      </c>
      <c r="E387" s="161">
        <v>40239</v>
      </c>
      <c r="F387" s="172" t="str">
        <f t="shared" si="17"/>
        <v>2009-10</v>
      </c>
      <c r="G387" s="68"/>
      <c r="H387" s="167" t="s">
        <v>293</v>
      </c>
      <c r="I387" s="173">
        <v>20414.77563211487</v>
      </c>
      <c r="J387" s="168">
        <f>IFERROR(MIN('MP Calculations'!$E$30/I387,1),"-")</f>
        <v>0.40513348981719682</v>
      </c>
      <c r="K387" s="12"/>
      <c r="L387" s="159">
        <v>0.62343599999999999</v>
      </c>
      <c r="M387" s="159" t="s">
        <v>294</v>
      </c>
      <c r="N387" s="159">
        <v>350</v>
      </c>
      <c r="O387" s="185">
        <f t="shared" si="19"/>
        <v>218.20259999999999</v>
      </c>
      <c r="P387" s="215">
        <f t="shared" si="18"/>
        <v>88.401180825185861</v>
      </c>
      <c r="Q387" s="215" cm="1">
        <f t="array" ref="Q387">IF(P387="-",0,P387/(1+'General inputs'!$H$32)^IFERROR(INDEX('MP Calculations'!$C$40:$C$130,MATCH(F387,'MP Calculations'!$D$40:$D$130,0),0),-1))</f>
        <v>150.91708659517289</v>
      </c>
    </row>
    <row r="388" spans="3:17">
      <c r="C388" s="159"/>
      <c r="D388" s="165" t="s">
        <v>281</v>
      </c>
      <c r="E388" s="161">
        <v>40239</v>
      </c>
      <c r="F388" s="172" t="str">
        <f t="shared" si="17"/>
        <v>2009-10</v>
      </c>
      <c r="G388" s="68"/>
      <c r="H388" s="167" t="s">
        <v>293</v>
      </c>
      <c r="I388" s="173">
        <v>20414.77563211487</v>
      </c>
      <c r="J388" s="168">
        <f>IFERROR(MIN('MP Calculations'!$E$30/I388,1),"-")</f>
        <v>0.40513348981719682</v>
      </c>
      <c r="K388" s="12"/>
      <c r="L388" s="159">
        <v>0.20041200000000001</v>
      </c>
      <c r="M388" s="159" t="s">
        <v>294</v>
      </c>
      <c r="N388" s="159">
        <v>350</v>
      </c>
      <c r="O388" s="185">
        <f t="shared" si="19"/>
        <v>70.144199999999998</v>
      </c>
      <c r="P388" s="215">
        <f t="shared" si="18"/>
        <v>28.417764536435417</v>
      </c>
      <c r="Q388" s="215" cm="1">
        <f t="array" ref="Q388">IF(P388="-",0,P388/(1+'General inputs'!$H$32)^IFERROR(INDEX('MP Calculations'!$C$40:$C$130,MATCH(F388,'MP Calculations'!$D$40:$D$130,0),0),-1))</f>
        <v>48.514354574826918</v>
      </c>
    </row>
    <row r="389" spans="3:17">
      <c r="C389" s="159"/>
      <c r="D389" s="165" t="s">
        <v>281</v>
      </c>
      <c r="E389" s="161">
        <v>40239</v>
      </c>
      <c r="F389" s="172" t="str">
        <f t="shared" si="17"/>
        <v>2009-10</v>
      </c>
      <c r="G389" s="68"/>
      <c r="H389" s="167" t="s">
        <v>293</v>
      </c>
      <c r="I389" s="173">
        <v>20414.77563211487</v>
      </c>
      <c r="J389" s="168">
        <f>IFERROR(MIN('MP Calculations'!$E$30/I389,1),"-")</f>
        <v>0.40513348981719682</v>
      </c>
      <c r="K389" s="12"/>
      <c r="L389" s="159">
        <v>0.622448</v>
      </c>
      <c r="M389" s="159" t="s">
        <v>294</v>
      </c>
      <c r="N389" s="159">
        <v>350</v>
      </c>
      <c r="O389" s="185">
        <f t="shared" si="19"/>
        <v>217.85679999999999</v>
      </c>
      <c r="P389" s="215">
        <f t="shared" si="18"/>
        <v>88.261085664407076</v>
      </c>
      <c r="Q389" s="215" cm="1">
        <f t="array" ref="Q389">IF(P389="-",0,P389/(1+'General inputs'!$H$32)^IFERROR(INDEX('MP Calculations'!$C$40:$C$130,MATCH(F389,'MP Calculations'!$D$40:$D$130,0),0),-1))</f>
        <v>150.67791837011686</v>
      </c>
    </row>
    <row r="390" spans="3:17">
      <c r="C390" s="159"/>
      <c r="D390" s="165" t="s">
        <v>281</v>
      </c>
      <c r="E390" s="161">
        <v>40325</v>
      </c>
      <c r="F390" s="172" t="str">
        <f t="shared" si="17"/>
        <v>2009-10</v>
      </c>
      <c r="G390" s="68"/>
      <c r="H390" s="167" t="s">
        <v>293</v>
      </c>
      <c r="I390" s="173">
        <v>20414.77563211487</v>
      </c>
      <c r="J390" s="168">
        <f>IFERROR(MIN('MP Calculations'!$E$30/I390,1),"-")</f>
        <v>0.40513348981719682</v>
      </c>
      <c r="K390" s="12"/>
      <c r="L390" s="159">
        <v>8.9999179999999992</v>
      </c>
      <c r="M390" s="159" t="s">
        <v>294</v>
      </c>
      <c r="N390" s="159">
        <v>350</v>
      </c>
      <c r="O390" s="185">
        <f t="shared" si="19"/>
        <v>3149.9712999999997</v>
      </c>
      <c r="P390" s="215">
        <f t="shared" si="18"/>
        <v>1276.158865593012</v>
      </c>
      <c r="Q390" s="215" cm="1">
        <f t="array" ref="Q390">IF(P390="-",0,P390/(1+'General inputs'!$H$32)^IFERROR(INDEX('MP Calculations'!$C$40:$C$130,MATCH(F390,'MP Calculations'!$D$40:$D$130,0),0),-1))</f>
        <v>2178.6380705564889</v>
      </c>
    </row>
    <row r="391" spans="3:17">
      <c r="C391" s="159"/>
      <c r="D391" s="165" t="s">
        <v>322</v>
      </c>
      <c r="E391" s="161">
        <v>40330</v>
      </c>
      <c r="F391" s="172" t="str">
        <f t="shared" si="17"/>
        <v>2009-10</v>
      </c>
      <c r="G391" s="68"/>
      <c r="H391" s="167" t="s">
        <v>293</v>
      </c>
      <c r="I391" s="173">
        <v>20414.77563211487</v>
      </c>
      <c r="J391" s="168">
        <f>IFERROR(MIN('MP Calculations'!$E$30/I391,1),"-")</f>
        <v>0.40513348981719682</v>
      </c>
      <c r="K391" s="12"/>
      <c r="L391" s="159">
        <v>1</v>
      </c>
      <c r="M391" s="159" t="s">
        <v>295</v>
      </c>
      <c r="N391" s="159">
        <v>7155.07</v>
      </c>
      <c r="O391" s="185">
        <f t="shared" si="19"/>
        <v>7155.07</v>
      </c>
      <c r="P391" s="215">
        <f t="shared" si="18"/>
        <v>2898.7584789863304</v>
      </c>
      <c r="Q391" s="215" cm="1">
        <f t="array" ref="Q391">IF(P391="-",0,P391/(1+'General inputs'!$H$32)^IFERROR(INDEX('MP Calculations'!$C$40:$C$130,MATCH(F391,'MP Calculations'!$D$40:$D$130,0),0),-1))</f>
        <v>4948.7142627288758</v>
      </c>
    </row>
    <row r="392" spans="3:17">
      <c r="C392" s="159"/>
      <c r="D392" s="165" t="s">
        <v>321</v>
      </c>
      <c r="E392" s="161">
        <v>40330</v>
      </c>
      <c r="F392" s="172" t="str">
        <f t="shared" si="17"/>
        <v>2009-10</v>
      </c>
      <c r="G392" s="68"/>
      <c r="H392" s="167" t="s">
        <v>293</v>
      </c>
      <c r="I392" s="173">
        <v>20414.77563211487</v>
      </c>
      <c r="J392" s="168">
        <f>IFERROR(MIN('MP Calculations'!$E$30/I392,1),"-")</f>
        <v>0.40513348981719682</v>
      </c>
      <c r="K392" s="12"/>
      <c r="L392" s="159">
        <v>1</v>
      </c>
      <c r="M392" s="159" t="s">
        <v>295</v>
      </c>
      <c r="N392" s="159">
        <v>23011.61</v>
      </c>
      <c r="O392" s="185">
        <f t="shared" si="19"/>
        <v>23011.61</v>
      </c>
      <c r="P392" s="215">
        <f t="shared" si="18"/>
        <v>9322.7738656123056</v>
      </c>
      <c r="Q392" s="215" cm="1">
        <f t="array" ref="Q392">IF(P392="-",0,P392/(1+'General inputs'!$H$32)^IFERROR(INDEX('MP Calculations'!$C$40:$C$130,MATCH(F392,'MP Calculations'!$D$40:$D$130,0),0),-1))</f>
        <v>15915.690917818336</v>
      </c>
    </row>
    <row r="393" spans="3:17">
      <c r="C393" s="159"/>
      <c r="D393" s="165" t="s">
        <v>323</v>
      </c>
      <c r="E393" s="161">
        <v>40513</v>
      </c>
      <c r="F393" s="172" t="str">
        <f t="shared" si="17"/>
        <v>2010-11</v>
      </c>
      <c r="G393" s="68"/>
      <c r="H393" s="167" t="s">
        <v>293</v>
      </c>
      <c r="I393" s="173">
        <v>20414.77563211487</v>
      </c>
      <c r="J393" s="168">
        <f>IFERROR(MIN('MP Calculations'!$E$30/I393,1),"-")</f>
        <v>0.40513348981719682</v>
      </c>
      <c r="K393" s="12"/>
      <c r="L393" s="159">
        <v>1</v>
      </c>
      <c r="M393" s="159" t="s">
        <v>295</v>
      </c>
      <c r="N393" s="159">
        <v>3597.04</v>
      </c>
      <c r="O393" s="185">
        <f t="shared" si="19"/>
        <v>3597.04</v>
      </c>
      <c r="P393" s="215">
        <f t="shared" si="18"/>
        <v>1457.2813682120498</v>
      </c>
      <c r="Q393" s="215" cm="1">
        <f t="array" ref="Q393">IF(P393="-",0,P393/(1+'General inputs'!$H$32)^IFERROR(INDEX('MP Calculations'!$C$40:$C$130,MATCH(F393,'MP Calculations'!$D$40:$D$130,0),0),-1))</f>
        <v>2387.5695964836618</v>
      </c>
    </row>
    <row r="394" spans="3:17">
      <c r="C394" s="159"/>
      <c r="D394" s="165" t="s">
        <v>324</v>
      </c>
      <c r="E394" s="161">
        <v>40575</v>
      </c>
      <c r="F394" s="172" t="str">
        <f t="shared" si="17"/>
        <v>2010-11</v>
      </c>
      <c r="G394" s="68"/>
      <c r="H394" s="167" t="s">
        <v>293</v>
      </c>
      <c r="I394" s="173">
        <v>20414.77563211487</v>
      </c>
      <c r="J394" s="168">
        <f>IFERROR(MIN('MP Calculations'!$E$30/I394,1),"-")</f>
        <v>0.40513348981719682</v>
      </c>
      <c r="K394" s="12"/>
      <c r="L394" s="159">
        <v>1</v>
      </c>
      <c r="M394" s="159" t="s">
        <v>295</v>
      </c>
      <c r="N394" s="159">
        <v>1777.27</v>
      </c>
      <c r="O394" s="185">
        <f t="shared" si="19"/>
        <v>1777.27</v>
      </c>
      <c r="P394" s="215">
        <f t="shared" si="18"/>
        <v>720.03159744740935</v>
      </c>
      <c r="Q394" s="215" cm="1">
        <f t="array" ref="Q394">IF(P394="-",0,P394/(1+'General inputs'!$H$32)^IFERROR(INDEX('MP Calculations'!$C$40:$C$130,MATCH(F394,'MP Calculations'!$D$40:$D$130,0),0),-1))</f>
        <v>1179.6799081307179</v>
      </c>
    </row>
    <row r="395" spans="3:17">
      <c r="C395" s="159"/>
      <c r="D395" s="165" t="s">
        <v>281</v>
      </c>
      <c r="E395" s="161">
        <v>40600</v>
      </c>
      <c r="F395" s="172" t="str">
        <f t="shared" si="17"/>
        <v>2010-11</v>
      </c>
      <c r="G395" s="68"/>
      <c r="H395" s="167" t="s">
        <v>293</v>
      </c>
      <c r="I395" s="173">
        <v>20414.77563211487</v>
      </c>
      <c r="J395" s="168">
        <f>IFERROR(MIN('MP Calculations'!$E$30/I395,1),"-")</f>
        <v>0.40513348981719682</v>
      </c>
      <c r="K395" s="12"/>
      <c r="L395" s="159">
        <v>0.30004199999999998</v>
      </c>
      <c r="M395" s="159" t="s">
        <v>294</v>
      </c>
      <c r="N395" s="159">
        <v>350</v>
      </c>
      <c r="O395" s="185">
        <f t="shared" si="19"/>
        <v>105.01469999999999</v>
      </c>
      <c r="P395" s="215">
        <f t="shared" si="18"/>
        <v>42.544971893105973</v>
      </c>
      <c r="Q395" s="215" cm="1">
        <f t="array" ref="Q395">IF(P395="-",0,P395/(1+'General inputs'!$H$32)^IFERROR(INDEX('MP Calculations'!$C$40:$C$130,MATCH(F395,'MP Calculations'!$D$40:$D$130,0),0),-1))</f>
        <v>69.704508402423315</v>
      </c>
    </row>
    <row r="396" spans="3:17">
      <c r="C396" s="159"/>
      <c r="D396" s="165" t="s">
        <v>281</v>
      </c>
      <c r="E396" s="161">
        <v>40600</v>
      </c>
      <c r="F396" s="172" t="str">
        <f t="shared" si="17"/>
        <v>2010-11</v>
      </c>
      <c r="G396" s="68"/>
      <c r="H396" s="167" t="s">
        <v>293</v>
      </c>
      <c r="I396" s="173">
        <v>20414.77563211487</v>
      </c>
      <c r="J396" s="168">
        <f>IFERROR(MIN('MP Calculations'!$E$30/I396,1),"-")</f>
        <v>0.40513348981719682</v>
      </c>
      <c r="K396" s="12"/>
      <c r="L396" s="159">
        <v>4.3998480000000004</v>
      </c>
      <c r="M396" s="159" t="s">
        <v>294</v>
      </c>
      <c r="N396" s="159">
        <v>350</v>
      </c>
      <c r="O396" s="185">
        <f t="shared" si="19"/>
        <v>1539.9468000000002</v>
      </c>
      <c r="P396" s="215">
        <f t="shared" si="18"/>
        <v>623.88402121682486</v>
      </c>
      <c r="Q396" s="215" cm="1">
        <f t="array" ref="Q396">IF(P396="-",0,P396/(1+'General inputs'!$H$32)^IFERROR(INDEX('MP Calculations'!$C$40:$C$130,MATCH(F396,'MP Calculations'!$D$40:$D$130,0),0),-1))</f>
        <v>1022.1543713392974</v>
      </c>
    </row>
    <row r="397" spans="3:17">
      <c r="C397" s="159"/>
      <c r="D397" s="165" t="s">
        <v>333</v>
      </c>
      <c r="E397" s="161">
        <v>40634</v>
      </c>
      <c r="F397" s="172" t="str">
        <f t="shared" si="17"/>
        <v>2010-11</v>
      </c>
      <c r="G397" s="68"/>
      <c r="H397" s="167" t="s">
        <v>293</v>
      </c>
      <c r="I397" s="173">
        <v>20414.77563211487</v>
      </c>
      <c r="J397" s="168">
        <f>IFERROR(MIN('MP Calculations'!$E$30/I397,1),"-")</f>
        <v>0.40513348981719682</v>
      </c>
      <c r="K397" s="12"/>
      <c r="L397" s="159">
        <v>1</v>
      </c>
      <c r="M397" s="159" t="s">
        <v>295</v>
      </c>
      <c r="N397" s="159">
        <v>79559.77</v>
      </c>
      <c r="O397" s="185">
        <f t="shared" si="19"/>
        <v>79559.77</v>
      </c>
      <c r="P397" s="215">
        <f t="shared" si="18"/>
        <v>32232.327269153524</v>
      </c>
      <c r="Q397" s="215" cm="1">
        <f t="array" ref="Q397">IF(P397="-",0,P397/(1+'General inputs'!$H$32)^IFERROR(INDEX('MP Calculations'!$C$40:$C$130,MATCH(F397,'MP Calculations'!$D$40:$D$130,0),0),-1))</f>
        <v>52808.555911314012</v>
      </c>
    </row>
    <row r="398" spans="3:17">
      <c r="C398" s="159"/>
      <c r="D398" s="165" t="s">
        <v>334</v>
      </c>
      <c r="E398" s="161">
        <v>40634</v>
      </c>
      <c r="F398" s="172" t="str">
        <f t="shared" si="17"/>
        <v>2010-11</v>
      </c>
      <c r="G398" s="68"/>
      <c r="H398" s="167" t="s">
        <v>293</v>
      </c>
      <c r="I398" s="173">
        <v>20414.77563211487</v>
      </c>
      <c r="J398" s="168">
        <f>IFERROR(MIN('MP Calculations'!$E$30/I398,1),"-")</f>
        <v>0.40513348981719682</v>
      </c>
      <c r="K398" s="12"/>
      <c r="L398" s="159">
        <v>1</v>
      </c>
      <c r="M398" s="159" t="s">
        <v>295</v>
      </c>
      <c r="N398" s="159">
        <v>99895.48</v>
      </c>
      <c r="O398" s="185">
        <f t="shared" si="19"/>
        <v>99895.48</v>
      </c>
      <c r="P398" s="215">
        <f t="shared" si="18"/>
        <v>40471.004429363988</v>
      </c>
      <c r="Q398" s="215" cm="1">
        <f t="array" ref="Q398">IF(P398="-",0,P398/(1+'General inputs'!$H$32)^IFERROR(INDEX('MP Calculations'!$C$40:$C$130,MATCH(F398,'MP Calculations'!$D$40:$D$130,0),0),-1))</f>
        <v>66306.577317500414</v>
      </c>
    </row>
    <row r="399" spans="3:17">
      <c r="C399" s="159"/>
      <c r="D399" s="165" t="s">
        <v>332</v>
      </c>
      <c r="E399" s="161">
        <v>40634</v>
      </c>
      <c r="F399" s="172" t="str">
        <f t="shared" si="17"/>
        <v>2010-11</v>
      </c>
      <c r="G399" s="68"/>
      <c r="H399" s="167" t="s">
        <v>293</v>
      </c>
      <c r="I399" s="173">
        <v>20414.77563211487</v>
      </c>
      <c r="J399" s="168">
        <f>IFERROR(MIN('MP Calculations'!$E$30/I399,1),"-")</f>
        <v>0.40513348981719682</v>
      </c>
      <c r="K399" s="12"/>
      <c r="L399" s="159">
        <v>1</v>
      </c>
      <c r="M399" s="159" t="s">
        <v>295</v>
      </c>
      <c r="N399" s="159">
        <v>7607.18</v>
      </c>
      <c r="O399" s="185">
        <f t="shared" si="19"/>
        <v>7607.18</v>
      </c>
      <c r="P399" s="215">
        <f t="shared" si="18"/>
        <v>3081.9233810675833</v>
      </c>
      <c r="Q399" s="215" cm="1">
        <f t="array" ref="Q399">IF(P399="-",0,P399/(1+'General inputs'!$H$32)^IFERROR(INDEX('MP Calculations'!$C$40:$C$130,MATCH(F399,'MP Calculations'!$D$40:$D$130,0),0),-1))</f>
        <v>5049.3382567273593</v>
      </c>
    </row>
    <row r="400" spans="3:17">
      <c r="C400" s="159"/>
      <c r="D400" s="165" t="s">
        <v>328</v>
      </c>
      <c r="E400" s="161">
        <v>40634</v>
      </c>
      <c r="F400" s="172" t="str">
        <f t="shared" si="17"/>
        <v>2010-11</v>
      </c>
      <c r="G400" s="68"/>
      <c r="H400" s="167" t="s">
        <v>293</v>
      </c>
      <c r="I400" s="173">
        <v>20414.77563211487</v>
      </c>
      <c r="J400" s="168">
        <f>IFERROR(MIN('MP Calculations'!$E$30/I400,1),"-")</f>
        <v>0.40513348981719682</v>
      </c>
      <c r="K400" s="12"/>
      <c r="L400" s="159">
        <v>1</v>
      </c>
      <c r="M400" s="159" t="s">
        <v>295</v>
      </c>
      <c r="N400" s="159">
        <v>14863.18</v>
      </c>
      <c r="O400" s="185">
        <f t="shared" si="19"/>
        <v>14863.18</v>
      </c>
      <c r="P400" s="215">
        <f t="shared" si="18"/>
        <v>6021.5719831811639</v>
      </c>
      <c r="Q400" s="215" cm="1">
        <f t="array" ref="Q400">IF(P400="-",0,P400/(1+'General inputs'!$H$32)^IFERROR(INDEX('MP Calculations'!$C$40:$C$130,MATCH(F400,'MP Calculations'!$D$40:$D$130,0),0),-1))</f>
        <v>9865.5774400796308</v>
      </c>
    </row>
    <row r="401" spans="3:17">
      <c r="C401" s="159"/>
      <c r="D401" s="165" t="s">
        <v>330</v>
      </c>
      <c r="E401" s="161">
        <v>40634</v>
      </c>
      <c r="F401" s="172" t="str">
        <f t="shared" si="17"/>
        <v>2010-11</v>
      </c>
      <c r="G401" s="68"/>
      <c r="H401" s="167" t="s">
        <v>293</v>
      </c>
      <c r="I401" s="173">
        <v>20414.77563211487</v>
      </c>
      <c r="J401" s="168">
        <f>IFERROR(MIN('MP Calculations'!$E$30/I401,1),"-")</f>
        <v>0.40513348981719682</v>
      </c>
      <c r="K401" s="12"/>
      <c r="L401" s="159">
        <v>1</v>
      </c>
      <c r="M401" s="159" t="s">
        <v>295</v>
      </c>
      <c r="N401" s="159">
        <v>5149.8500000000004</v>
      </c>
      <c r="O401" s="185">
        <f t="shared" si="19"/>
        <v>5149.8500000000004</v>
      </c>
      <c r="P401" s="215">
        <f t="shared" si="18"/>
        <v>2086.3767025350912</v>
      </c>
      <c r="Q401" s="215" cm="1">
        <f t="array" ref="Q401">IF(P401="-",0,P401/(1+'General inputs'!$H$32)^IFERROR(INDEX('MP Calculations'!$C$40:$C$130,MATCH(F401,'MP Calculations'!$D$40:$D$130,0),0),-1))</f>
        <v>3418.2620394689484</v>
      </c>
    </row>
    <row r="402" spans="3:17">
      <c r="C402" s="159"/>
      <c r="D402" s="165" t="s">
        <v>329</v>
      </c>
      <c r="E402" s="161">
        <v>40634</v>
      </c>
      <c r="F402" s="172" t="str">
        <f t="shared" si="17"/>
        <v>2010-11</v>
      </c>
      <c r="G402" s="68"/>
      <c r="H402" s="167" t="s">
        <v>293</v>
      </c>
      <c r="I402" s="173">
        <v>20414.77563211487</v>
      </c>
      <c r="J402" s="168">
        <f>IFERROR(MIN('MP Calculations'!$E$30/I402,1),"-")</f>
        <v>0.40513348981719682</v>
      </c>
      <c r="K402" s="12"/>
      <c r="L402" s="159">
        <v>1</v>
      </c>
      <c r="M402" s="159" t="s">
        <v>295</v>
      </c>
      <c r="N402" s="159">
        <v>5149.8500000000004</v>
      </c>
      <c r="O402" s="185">
        <f t="shared" si="19"/>
        <v>5149.8500000000004</v>
      </c>
      <c r="P402" s="215">
        <f t="shared" si="18"/>
        <v>2086.3767025350912</v>
      </c>
      <c r="Q402" s="215" cm="1">
        <f t="array" ref="Q402">IF(P402="-",0,P402/(1+'General inputs'!$H$32)^IFERROR(INDEX('MP Calculations'!$C$40:$C$130,MATCH(F402,'MP Calculations'!$D$40:$D$130,0),0),-1))</f>
        <v>3418.2620394689484</v>
      </c>
    </row>
    <row r="403" spans="3:17">
      <c r="C403" s="159"/>
      <c r="D403" s="165" t="s">
        <v>326</v>
      </c>
      <c r="E403" s="161">
        <v>40634</v>
      </c>
      <c r="F403" s="172" t="str">
        <f t="shared" si="17"/>
        <v>2010-11</v>
      </c>
      <c r="G403" s="68"/>
      <c r="H403" s="167" t="s">
        <v>293</v>
      </c>
      <c r="I403" s="173">
        <v>20414.77563211487</v>
      </c>
      <c r="J403" s="168">
        <f>IFERROR(MIN('MP Calculations'!$E$30/I403,1),"-")</f>
        <v>0.40513348981719682</v>
      </c>
      <c r="K403" s="12"/>
      <c r="L403" s="159">
        <v>1</v>
      </c>
      <c r="M403" s="159" t="s">
        <v>295</v>
      </c>
      <c r="N403" s="159">
        <v>17603.14</v>
      </c>
      <c r="O403" s="185">
        <f t="shared" si="19"/>
        <v>17603.14</v>
      </c>
      <c r="P403" s="215">
        <f t="shared" si="18"/>
        <v>7131.6215399406901</v>
      </c>
      <c r="Q403" s="215" cm="1">
        <f t="array" ref="Q403">IF(P403="-",0,P403/(1+'General inputs'!$H$32)^IFERROR(INDEX('MP Calculations'!$C$40:$C$130,MATCH(F403,'MP Calculations'!$D$40:$D$130,0),0),-1))</f>
        <v>11684.252014613518</v>
      </c>
    </row>
    <row r="404" spans="3:17">
      <c r="C404" s="159"/>
      <c r="D404" s="165" t="s">
        <v>325</v>
      </c>
      <c r="E404" s="161">
        <v>40634</v>
      </c>
      <c r="F404" s="172" t="str">
        <f t="shared" si="17"/>
        <v>2010-11</v>
      </c>
      <c r="G404" s="68"/>
      <c r="H404" s="167" t="s">
        <v>293</v>
      </c>
      <c r="I404" s="173">
        <v>20414.77563211487</v>
      </c>
      <c r="J404" s="168">
        <f>IFERROR(MIN('MP Calculations'!$E$30/I404,1),"-")</f>
        <v>0.40513348981719682</v>
      </c>
      <c r="K404" s="12"/>
      <c r="L404" s="159">
        <v>1</v>
      </c>
      <c r="M404" s="159" t="s">
        <v>295</v>
      </c>
      <c r="N404" s="159">
        <v>14362.3</v>
      </c>
      <c r="O404" s="185">
        <f t="shared" si="19"/>
        <v>14362.3</v>
      </c>
      <c r="P404" s="215">
        <f t="shared" si="18"/>
        <v>5818.648720801526</v>
      </c>
      <c r="Q404" s="215" cm="1">
        <f t="array" ref="Q404">IF(P404="-",0,P404/(1+'General inputs'!$H$32)^IFERROR(INDEX('MP Calculations'!$C$40:$C$130,MATCH(F404,'MP Calculations'!$D$40:$D$130,0),0),-1))</f>
        <v>9533.1135643688413</v>
      </c>
    </row>
    <row r="405" spans="3:17">
      <c r="C405" s="159"/>
      <c r="D405" s="165" t="s">
        <v>327</v>
      </c>
      <c r="E405" s="161">
        <v>40634</v>
      </c>
      <c r="F405" s="172" t="str">
        <f t="shared" si="17"/>
        <v>2010-11</v>
      </c>
      <c r="G405" s="68"/>
      <c r="H405" s="167" t="s">
        <v>293</v>
      </c>
      <c r="I405" s="173">
        <v>20414.77563211487</v>
      </c>
      <c r="J405" s="168">
        <f>IFERROR(MIN('MP Calculations'!$E$30/I405,1),"-")</f>
        <v>0.40513348981719682</v>
      </c>
      <c r="K405" s="12"/>
      <c r="L405" s="159">
        <v>1</v>
      </c>
      <c r="M405" s="159" t="s">
        <v>295</v>
      </c>
      <c r="N405" s="159">
        <v>36759.53</v>
      </c>
      <c r="O405" s="185">
        <f t="shared" si="19"/>
        <v>36759.53</v>
      </c>
      <c r="P405" s="215">
        <f t="shared" si="18"/>
        <v>14892.516672939941</v>
      </c>
      <c r="Q405" s="215" cm="1">
        <f t="array" ref="Q405">IF(P405="-",0,P405/(1+'General inputs'!$H$32)^IFERROR(INDEX('MP Calculations'!$C$40:$C$130,MATCH(F405,'MP Calculations'!$D$40:$D$130,0),0),-1))</f>
        <v>24399.48852640756</v>
      </c>
    </row>
    <row r="406" spans="3:17">
      <c r="C406" s="159"/>
      <c r="D406" s="165" t="s">
        <v>331</v>
      </c>
      <c r="E406" s="161">
        <v>40634</v>
      </c>
      <c r="F406" s="172" t="str">
        <f t="shared" ref="F406:F469" si="20">IF(E406="","-",IF(OR(E406&lt;$E$15,E406&gt;$E$16),"ERROR - date outside of range",IF(MONTH(E406)&gt;=7,YEAR(E406)&amp;"-"&amp;IF(YEAR(E406)=1999,"00",IF(AND(YEAR(E406)&gt;=2000,YEAR(E406)&lt;2009),"0","")&amp;RIGHT(YEAR(E406),2)+1),RIGHT(YEAR(E406),4)-1&amp;"-"&amp;RIGHT(YEAR(E406),2))))</f>
        <v>2010-11</v>
      </c>
      <c r="G406" s="68"/>
      <c r="H406" s="167" t="s">
        <v>293</v>
      </c>
      <c r="I406" s="173">
        <v>20414.77563211487</v>
      </c>
      <c r="J406" s="168">
        <f>IFERROR(MIN('MP Calculations'!$E$30/I406,1),"-")</f>
        <v>0.40513348981719682</v>
      </c>
      <c r="K406" s="12"/>
      <c r="L406" s="159">
        <v>1</v>
      </c>
      <c r="M406" s="159" t="s">
        <v>295</v>
      </c>
      <c r="N406" s="159">
        <v>26550.92</v>
      </c>
      <c r="O406" s="185">
        <f t="shared" si="19"/>
        <v>26550.92</v>
      </c>
      <c r="P406" s="215">
        <f t="shared" si="18"/>
        <v>10756.666877457206</v>
      </c>
      <c r="Q406" s="215" cm="1">
        <f t="array" ref="Q406">IF(P406="-",0,P406/(1+'General inputs'!$H$32)^IFERROR(INDEX('MP Calculations'!$C$40:$C$130,MATCH(F406,'MP Calculations'!$D$40:$D$130,0),0),-1))</f>
        <v>17623.426303480079</v>
      </c>
    </row>
    <row r="407" spans="3:17">
      <c r="C407" s="159"/>
      <c r="D407" s="165" t="s">
        <v>335</v>
      </c>
      <c r="E407" s="161">
        <v>40634</v>
      </c>
      <c r="F407" s="172" t="str">
        <f t="shared" si="20"/>
        <v>2010-11</v>
      </c>
      <c r="G407" s="68"/>
      <c r="H407" s="167" t="s">
        <v>293</v>
      </c>
      <c r="I407" s="173">
        <v>20414.77563211487</v>
      </c>
      <c r="J407" s="168">
        <f>IFERROR(MIN('MP Calculations'!$E$30/I407,1),"-")</f>
        <v>0.40513348981719682</v>
      </c>
      <c r="K407" s="12"/>
      <c r="L407" s="159">
        <v>1</v>
      </c>
      <c r="M407" s="159" t="s">
        <v>295</v>
      </c>
      <c r="N407" s="159">
        <v>10165.43</v>
      </c>
      <c r="O407" s="185">
        <f t="shared" si="19"/>
        <v>10165.43</v>
      </c>
      <c r="P407" s="215">
        <f t="shared" ref="P407:P470" si="21">IF(O407="-","-",IF(OR(E407&lt;$E$15,E407&gt;$E$16),0,O407*J407))</f>
        <v>4118.3561313924274</v>
      </c>
      <c r="Q407" s="215" cm="1">
        <f t="array" ref="Q407">IF(P407="-",0,P407/(1+'General inputs'!$H$32)^IFERROR(INDEX('MP Calculations'!$C$40:$C$130,MATCH(F407,'MP Calculations'!$D$40:$D$130,0),0),-1))</f>
        <v>6747.4010862217019</v>
      </c>
    </row>
    <row r="408" spans="3:17">
      <c r="C408" s="159"/>
      <c r="D408" s="165" t="s">
        <v>336</v>
      </c>
      <c r="E408" s="161">
        <v>40725</v>
      </c>
      <c r="F408" s="172" t="str">
        <f t="shared" si="20"/>
        <v>2011-12</v>
      </c>
      <c r="G408" s="68"/>
      <c r="H408" s="167" t="s">
        <v>293</v>
      </c>
      <c r="I408" s="173">
        <v>20414.77563211487</v>
      </c>
      <c r="J408" s="168">
        <f>IFERROR(MIN('MP Calculations'!$E$30/I408,1),"-")</f>
        <v>0.40513348981719682</v>
      </c>
      <c r="K408" s="12"/>
      <c r="L408" s="159">
        <v>1</v>
      </c>
      <c r="M408" s="159" t="s">
        <v>295</v>
      </c>
      <c r="N408" s="159">
        <v>1116.3699999999999</v>
      </c>
      <c r="O408" s="185">
        <f t="shared" ref="O408:O409" si="22">IF(N408="","-",L408*N408)</f>
        <v>1116.3699999999999</v>
      </c>
      <c r="P408" s="215">
        <f t="shared" si="21"/>
        <v>452.27887402722399</v>
      </c>
      <c r="Q408" s="215" cm="1">
        <f t="array" ref="Q408">IF(P408="-",0,P408/(1+'General inputs'!$H$32)^IFERROR(INDEX('MP Calculations'!$C$40:$C$130,MATCH(F408,'MP Calculations'!$D$40:$D$130,0),0),-1))</f>
        <v>711.13361966097727</v>
      </c>
    </row>
    <row r="409" spans="3:17">
      <c r="C409" s="159"/>
      <c r="D409" s="165" t="s">
        <v>337</v>
      </c>
      <c r="E409" s="161">
        <v>40787</v>
      </c>
      <c r="F409" s="172" t="str">
        <f t="shared" si="20"/>
        <v>2011-12</v>
      </c>
      <c r="G409" s="68"/>
      <c r="H409" s="167" t="s">
        <v>293</v>
      </c>
      <c r="I409" s="173">
        <v>20414.77563211487</v>
      </c>
      <c r="J409" s="168">
        <f>IFERROR(MIN('MP Calculations'!$E$30/I409,1),"-")</f>
        <v>0.40513348981719682</v>
      </c>
      <c r="K409" s="12"/>
      <c r="L409" s="159">
        <v>1</v>
      </c>
      <c r="M409" s="159" t="s">
        <v>295</v>
      </c>
      <c r="N409" s="159">
        <v>5377.74</v>
      </c>
      <c r="O409" s="185">
        <f t="shared" si="22"/>
        <v>5377.74</v>
      </c>
      <c r="P409" s="215">
        <f t="shared" si="21"/>
        <v>2178.7025735295319</v>
      </c>
      <c r="Q409" s="215" cm="1">
        <f t="array" ref="Q409">IF(P409="-",0,P409/(1+'General inputs'!$H$32)^IFERROR(INDEX('MP Calculations'!$C$40:$C$130,MATCH(F409,'MP Calculations'!$D$40:$D$130,0),0),-1))</f>
        <v>3425.6489441633366</v>
      </c>
    </row>
    <row r="410" spans="3:17">
      <c r="C410" s="159"/>
      <c r="D410" s="165" t="s">
        <v>338</v>
      </c>
      <c r="E410" s="161">
        <v>40787</v>
      </c>
      <c r="F410" s="172" t="str">
        <f t="shared" si="20"/>
        <v>2011-12</v>
      </c>
      <c r="G410" s="68"/>
      <c r="H410" s="167" t="s">
        <v>293</v>
      </c>
      <c r="I410" s="173">
        <v>20414.77563211487</v>
      </c>
      <c r="J410" s="168">
        <f>IFERROR(MIN('MP Calculations'!$E$30/I410,1),"-")</f>
        <v>0.40513348981719682</v>
      </c>
      <c r="K410" s="12"/>
      <c r="L410" s="159">
        <v>1</v>
      </c>
      <c r="M410" s="159" t="s">
        <v>295</v>
      </c>
      <c r="N410" s="159">
        <v>5377.74</v>
      </c>
      <c r="O410" s="185">
        <f t="shared" ref="O410:O472" si="23">IF(N410="","-",L410*N410)</f>
        <v>5377.74</v>
      </c>
      <c r="P410" s="215">
        <f t="shared" si="21"/>
        <v>2178.7025735295319</v>
      </c>
      <c r="Q410" s="215" cm="1">
        <f t="array" ref="Q410">IF(P410="-",0,P410/(1+'General inputs'!$H$32)^IFERROR(INDEX('MP Calculations'!$C$40:$C$130,MATCH(F410,'MP Calculations'!$D$40:$D$130,0),0),-1))</f>
        <v>3425.6489441633366</v>
      </c>
    </row>
    <row r="411" spans="3:17">
      <c r="C411" s="159"/>
      <c r="D411" s="165" t="s">
        <v>281</v>
      </c>
      <c r="E411" s="161">
        <v>40861</v>
      </c>
      <c r="F411" s="172" t="str">
        <f t="shared" si="20"/>
        <v>2011-12</v>
      </c>
      <c r="G411" s="68"/>
      <c r="H411" s="167" t="s">
        <v>293</v>
      </c>
      <c r="I411" s="173">
        <v>20414.77563211487</v>
      </c>
      <c r="J411" s="168">
        <f>IFERROR(MIN('MP Calculations'!$E$30/I411,1),"-")</f>
        <v>0.40513348981719682</v>
      </c>
      <c r="K411" s="12"/>
      <c r="L411" s="159">
        <v>0.18978900000000001</v>
      </c>
      <c r="M411" s="159" t="s">
        <v>294</v>
      </c>
      <c r="N411" s="159">
        <v>350</v>
      </c>
      <c r="O411" s="185">
        <f t="shared" si="23"/>
        <v>66.426150000000007</v>
      </c>
      <c r="P411" s="215">
        <f t="shared" si="21"/>
        <v>26.911457964620592</v>
      </c>
      <c r="Q411" s="215" cm="1">
        <f t="array" ref="Q411">IF(P411="-",0,P411/(1+'General inputs'!$H$32)^IFERROR(INDEX('MP Calculations'!$C$40:$C$130,MATCH(F411,'MP Calculations'!$D$40:$D$130,0),0),-1))</f>
        <v>42.313810376168327</v>
      </c>
    </row>
    <row r="412" spans="3:17">
      <c r="C412" s="159"/>
      <c r="D412" s="165" t="s">
        <v>281</v>
      </c>
      <c r="E412" s="161">
        <v>40861</v>
      </c>
      <c r="F412" s="172" t="str">
        <f t="shared" si="20"/>
        <v>2011-12</v>
      </c>
      <c r="G412" s="68"/>
      <c r="H412" s="167" t="s">
        <v>293</v>
      </c>
      <c r="I412" s="173">
        <v>20414.77563211487</v>
      </c>
      <c r="J412" s="168">
        <f>IFERROR(MIN('MP Calculations'!$E$30/I412,1),"-")</f>
        <v>0.40513348981719682</v>
      </c>
      <c r="K412" s="12"/>
      <c r="L412" s="159">
        <v>0.70061300000000004</v>
      </c>
      <c r="M412" s="159" t="s">
        <v>294</v>
      </c>
      <c r="N412" s="159">
        <v>350</v>
      </c>
      <c r="O412" s="185">
        <f t="shared" si="23"/>
        <v>245.21455</v>
      </c>
      <c r="P412" s="215">
        <f t="shared" si="21"/>
        <v>99.344626395453503</v>
      </c>
      <c r="Q412" s="215" cm="1">
        <f t="array" ref="Q412">IF(P412="-",0,P412/(1+'General inputs'!$H$32)^IFERROR(INDEX('MP Calculations'!$C$40:$C$130,MATCH(F412,'MP Calculations'!$D$40:$D$130,0),0),-1))</f>
        <v>156.20297082063985</v>
      </c>
    </row>
    <row r="413" spans="3:17">
      <c r="C413" s="159"/>
      <c r="D413" s="165" t="s">
        <v>281</v>
      </c>
      <c r="E413" s="161">
        <v>40861</v>
      </c>
      <c r="F413" s="172" t="str">
        <f t="shared" si="20"/>
        <v>2011-12</v>
      </c>
      <c r="G413" s="68"/>
      <c r="H413" s="167" t="s">
        <v>293</v>
      </c>
      <c r="I413" s="173">
        <v>20414.77563211487</v>
      </c>
      <c r="J413" s="168">
        <f>IFERROR(MIN('MP Calculations'!$E$30/I413,1),"-")</f>
        <v>0.40513348981719682</v>
      </c>
      <c r="K413" s="12"/>
      <c r="L413" s="159">
        <v>0.597248</v>
      </c>
      <c r="M413" s="159" t="s">
        <v>294</v>
      </c>
      <c r="N413" s="159">
        <v>350</v>
      </c>
      <c r="O413" s="185">
        <f t="shared" si="23"/>
        <v>209.0368</v>
      </c>
      <c r="P413" s="215">
        <f t="shared" si="21"/>
        <v>84.687808284219415</v>
      </c>
      <c r="Q413" s="215" cm="1">
        <f t="array" ref="Q413">IF(P413="-",0,P413/(1+'General inputs'!$H$32)^IFERROR(INDEX('MP Calculations'!$C$40:$C$130,MATCH(F413,'MP Calculations'!$D$40:$D$130,0),0),-1))</f>
        <v>133.15755191052054</v>
      </c>
    </row>
    <row r="414" spans="3:17">
      <c r="C414" s="159"/>
      <c r="D414" s="165" t="s">
        <v>281</v>
      </c>
      <c r="E414" s="161">
        <v>40861</v>
      </c>
      <c r="F414" s="172" t="str">
        <f t="shared" si="20"/>
        <v>2011-12</v>
      </c>
      <c r="G414" s="68"/>
      <c r="H414" s="167" t="s">
        <v>293</v>
      </c>
      <c r="I414" s="173">
        <v>20414.77563211487</v>
      </c>
      <c r="J414" s="168">
        <f>IFERROR(MIN('MP Calculations'!$E$30/I414,1),"-")</f>
        <v>0.40513348981719682</v>
      </c>
      <c r="K414" s="12"/>
      <c r="L414" s="159">
        <v>0.23838000000000001</v>
      </c>
      <c r="M414" s="159" t="s">
        <v>294</v>
      </c>
      <c r="N414" s="159">
        <v>350</v>
      </c>
      <c r="O414" s="185">
        <f t="shared" si="23"/>
        <v>83.433000000000007</v>
      </c>
      <c r="P414" s="215">
        <f t="shared" si="21"/>
        <v>33.801502455918182</v>
      </c>
      <c r="Q414" s="215" cm="1">
        <f t="array" ref="Q414">IF(P414="-",0,P414/(1+'General inputs'!$H$32)^IFERROR(INDEX('MP Calculations'!$C$40:$C$130,MATCH(F414,'MP Calculations'!$D$40:$D$130,0),0),-1))</f>
        <v>53.147264158992378</v>
      </c>
    </row>
    <row r="415" spans="3:17">
      <c r="C415" s="159"/>
      <c r="D415" s="165" t="s">
        <v>281</v>
      </c>
      <c r="E415" s="161">
        <v>40861</v>
      </c>
      <c r="F415" s="172" t="str">
        <f t="shared" si="20"/>
        <v>2011-12</v>
      </c>
      <c r="G415" s="68"/>
      <c r="H415" s="167" t="s">
        <v>293</v>
      </c>
      <c r="I415" s="173">
        <v>20414.77563211487</v>
      </c>
      <c r="J415" s="168">
        <f>IFERROR(MIN('MP Calculations'!$E$30/I415,1),"-")</f>
        <v>0.40513348981719682</v>
      </c>
      <c r="K415" s="12"/>
      <c r="L415" s="159">
        <v>0.34026200000000001</v>
      </c>
      <c r="M415" s="159" t="s">
        <v>294</v>
      </c>
      <c r="N415" s="159">
        <v>350</v>
      </c>
      <c r="O415" s="185">
        <f t="shared" si="23"/>
        <v>119.0917</v>
      </c>
      <c r="P415" s="215">
        <f t="shared" si="21"/>
        <v>48.248036029262657</v>
      </c>
      <c r="Q415" s="215" cm="1">
        <f t="array" ref="Q415">IF(P415="-",0,P415/(1+'General inputs'!$H$32)^IFERROR(INDEX('MP Calculations'!$C$40:$C$130,MATCH(F415,'MP Calculations'!$D$40:$D$130,0),0),-1))</f>
        <v>75.862045462148942</v>
      </c>
    </row>
    <row r="416" spans="3:17">
      <c r="C416" s="159"/>
      <c r="D416" s="165" t="s">
        <v>281</v>
      </c>
      <c r="E416" s="161">
        <v>40861</v>
      </c>
      <c r="F416" s="172" t="str">
        <f t="shared" si="20"/>
        <v>2011-12</v>
      </c>
      <c r="G416" s="68"/>
      <c r="H416" s="167" t="s">
        <v>293</v>
      </c>
      <c r="I416" s="173">
        <v>20414.77563211487</v>
      </c>
      <c r="J416" s="168">
        <f>IFERROR(MIN('MP Calculations'!$E$30/I416,1),"-")</f>
        <v>0.40513348981719682</v>
      </c>
      <c r="K416" s="12"/>
      <c r="L416" s="159">
        <v>0.40998200000000001</v>
      </c>
      <c r="M416" s="159" t="s">
        <v>294</v>
      </c>
      <c r="N416" s="159">
        <v>350</v>
      </c>
      <c r="O416" s="185">
        <f t="shared" si="23"/>
        <v>143.49370000000002</v>
      </c>
      <c r="P416" s="215">
        <f t="shared" si="21"/>
        <v>58.134103447781904</v>
      </c>
      <c r="Q416" s="215" cm="1">
        <f t="array" ref="Q416">IF(P416="-",0,P416/(1+'General inputs'!$H$32)^IFERROR(INDEX('MP Calculations'!$C$40:$C$130,MATCH(F416,'MP Calculations'!$D$40:$D$130,0),0),-1))</f>
        <v>91.406249074721103</v>
      </c>
    </row>
    <row r="417" spans="3:17">
      <c r="C417" s="159"/>
      <c r="D417" s="165" t="s">
        <v>281</v>
      </c>
      <c r="E417" s="161">
        <v>40861</v>
      </c>
      <c r="F417" s="172" t="str">
        <f t="shared" si="20"/>
        <v>2011-12</v>
      </c>
      <c r="G417" s="68"/>
      <c r="H417" s="167" t="s">
        <v>293</v>
      </c>
      <c r="I417" s="173">
        <v>20414.77563211487</v>
      </c>
      <c r="J417" s="168">
        <f>IFERROR(MIN('MP Calculations'!$E$30/I417,1),"-")</f>
        <v>0.40513348981719682</v>
      </c>
      <c r="K417" s="12"/>
      <c r="L417" s="159">
        <v>0.40998200000000001</v>
      </c>
      <c r="M417" s="159" t="s">
        <v>294</v>
      </c>
      <c r="N417" s="159">
        <v>350</v>
      </c>
      <c r="O417" s="185">
        <f t="shared" si="23"/>
        <v>143.49370000000002</v>
      </c>
      <c r="P417" s="215">
        <f t="shared" si="21"/>
        <v>58.134103447781904</v>
      </c>
      <c r="Q417" s="215" cm="1">
        <f t="array" ref="Q417">IF(P417="-",0,P417/(1+'General inputs'!$H$32)^IFERROR(INDEX('MP Calculations'!$C$40:$C$130,MATCH(F417,'MP Calculations'!$D$40:$D$130,0),0),-1))</f>
        <v>91.406249074721103</v>
      </c>
    </row>
    <row r="418" spans="3:17">
      <c r="C418" s="159"/>
      <c r="D418" s="165" t="s">
        <v>281</v>
      </c>
      <c r="E418" s="161">
        <v>40861</v>
      </c>
      <c r="F418" s="172" t="str">
        <f t="shared" si="20"/>
        <v>2011-12</v>
      </c>
      <c r="G418" s="68"/>
      <c r="H418" s="167" t="s">
        <v>293</v>
      </c>
      <c r="I418" s="173">
        <v>20414.77563211487</v>
      </c>
      <c r="J418" s="168">
        <f>IFERROR(MIN('MP Calculations'!$E$30/I418,1),"-")</f>
        <v>0.40513348981719682</v>
      </c>
      <c r="K418" s="12"/>
      <c r="L418" s="159">
        <v>1.4999929999999999</v>
      </c>
      <c r="M418" s="159" t="s">
        <v>294</v>
      </c>
      <c r="N418" s="159">
        <v>350</v>
      </c>
      <c r="O418" s="185">
        <f t="shared" si="23"/>
        <v>524.99754999999993</v>
      </c>
      <c r="P418" s="215">
        <f t="shared" si="21"/>
        <v>212.69408957697826</v>
      </c>
      <c r="Q418" s="215" cm="1">
        <f t="array" ref="Q418">IF(P418="-",0,P418/(1+'General inputs'!$H$32)^IFERROR(INDEX('MP Calculations'!$C$40:$C$130,MATCH(F418,'MP Calculations'!$D$40:$D$130,0),0),-1))</f>
        <v>334.42622790351311</v>
      </c>
    </row>
    <row r="419" spans="3:17">
      <c r="C419" s="159"/>
      <c r="D419" s="165" t="s">
        <v>281</v>
      </c>
      <c r="E419" s="161">
        <v>40861</v>
      </c>
      <c r="F419" s="172" t="str">
        <f t="shared" si="20"/>
        <v>2011-12</v>
      </c>
      <c r="G419" s="68"/>
      <c r="H419" s="167" t="s">
        <v>293</v>
      </c>
      <c r="I419" s="173">
        <v>20414.77563211487</v>
      </c>
      <c r="J419" s="168">
        <f>IFERROR(MIN('MP Calculations'!$E$30/I419,1),"-")</f>
        <v>0.40513348981719682</v>
      </c>
      <c r="K419" s="12"/>
      <c r="L419" s="159">
        <v>0.14094100000000001</v>
      </c>
      <c r="M419" s="159" t="s">
        <v>294</v>
      </c>
      <c r="N419" s="159">
        <v>350</v>
      </c>
      <c r="O419" s="185">
        <f t="shared" si="23"/>
        <v>49.329350000000005</v>
      </c>
      <c r="P419" s="215">
        <f t="shared" si="21"/>
        <v>19.98497171591394</v>
      </c>
      <c r="Q419" s="215" cm="1">
        <f t="array" ref="Q419">IF(P419="-",0,P419/(1+'General inputs'!$H$32)^IFERROR(INDEX('MP Calculations'!$C$40:$C$130,MATCH(F419,'MP Calculations'!$D$40:$D$130,0),0),-1))</f>
        <v>31.423057965569871</v>
      </c>
    </row>
    <row r="420" spans="3:17">
      <c r="C420" s="159"/>
      <c r="D420" s="165" t="s">
        <v>281</v>
      </c>
      <c r="E420" s="161">
        <v>40861</v>
      </c>
      <c r="F420" s="172" t="str">
        <f t="shared" si="20"/>
        <v>2011-12</v>
      </c>
      <c r="G420" s="68"/>
      <c r="H420" s="167" t="s">
        <v>293</v>
      </c>
      <c r="I420" s="173">
        <v>20414.77563211487</v>
      </c>
      <c r="J420" s="168">
        <f>IFERROR(MIN('MP Calculations'!$E$30/I420,1),"-")</f>
        <v>0.40513348981719682</v>
      </c>
      <c r="K420" s="12"/>
      <c r="L420" s="159">
        <v>0.53002099999999996</v>
      </c>
      <c r="M420" s="159" t="s">
        <v>294</v>
      </c>
      <c r="N420" s="159">
        <v>350</v>
      </c>
      <c r="O420" s="185">
        <f t="shared" si="23"/>
        <v>185.50734999999997</v>
      </c>
      <c r="P420" s="215">
        <f t="shared" si="21"/>
        <v>75.155240092240163</v>
      </c>
      <c r="Q420" s="215" cm="1">
        <f t="array" ref="Q420">IF(P420="-",0,P420/(1+'General inputs'!$H$32)^IFERROR(INDEX('MP Calculations'!$C$40:$C$130,MATCH(F420,'MP Calculations'!$D$40:$D$130,0),0),-1))</f>
        <v>118.16916728254593</v>
      </c>
    </row>
    <row r="421" spans="3:17">
      <c r="C421" s="159"/>
      <c r="D421" s="165" t="s">
        <v>339</v>
      </c>
      <c r="E421" s="161">
        <v>40909</v>
      </c>
      <c r="F421" s="172" t="str">
        <f t="shared" si="20"/>
        <v>2011-12</v>
      </c>
      <c r="G421" s="68"/>
      <c r="H421" s="167" t="s">
        <v>293</v>
      </c>
      <c r="I421" s="173">
        <v>20414.77563211487</v>
      </c>
      <c r="J421" s="168">
        <f>IFERROR(MIN('MP Calculations'!$E$30/I421,1),"-")</f>
        <v>0.40513348981719682</v>
      </c>
      <c r="K421" s="12"/>
      <c r="L421" s="159">
        <v>1</v>
      </c>
      <c r="M421" s="159" t="s">
        <v>295</v>
      </c>
      <c r="N421" s="159">
        <v>12285.61</v>
      </c>
      <c r="O421" s="185">
        <f t="shared" si="23"/>
        <v>12285.61</v>
      </c>
      <c r="P421" s="215">
        <f t="shared" si="21"/>
        <v>4977.3120538330513</v>
      </c>
      <c r="Q421" s="215" cm="1">
        <f t="array" ref="Q421">IF(P421="-",0,P421/(1+'General inputs'!$H$32)^IFERROR(INDEX('MP Calculations'!$C$40:$C$130,MATCH(F421,'MP Calculations'!$D$40:$D$130,0),0),-1))</f>
        <v>7825.9988256967672</v>
      </c>
    </row>
    <row r="422" spans="3:17">
      <c r="C422" s="159"/>
      <c r="D422" s="165" t="s">
        <v>282</v>
      </c>
      <c r="E422" s="161">
        <v>40962</v>
      </c>
      <c r="F422" s="172" t="str">
        <f t="shared" si="20"/>
        <v>2011-12</v>
      </c>
      <c r="G422" s="68"/>
      <c r="H422" s="167" t="s">
        <v>293</v>
      </c>
      <c r="I422" s="173">
        <v>20414.77563211487</v>
      </c>
      <c r="J422" s="168">
        <f>IFERROR(MIN('MP Calculations'!$E$30/I422,1),"-")</f>
        <v>0.40513348981719682</v>
      </c>
      <c r="K422" s="12"/>
      <c r="L422" s="159">
        <v>0.50016499999999997</v>
      </c>
      <c r="M422" s="159" t="s">
        <v>294</v>
      </c>
      <c r="N422" s="159">
        <v>511</v>
      </c>
      <c r="O422" s="185">
        <f t="shared" si="23"/>
        <v>255.58431499999998</v>
      </c>
      <c r="P422" s="215">
        <f t="shared" si="21"/>
        <v>103.54576547848771</v>
      </c>
      <c r="Q422" s="215" cm="1">
        <f t="array" ref="Q422">IF(P422="-",0,P422/(1+'General inputs'!$H$32)^IFERROR(INDEX('MP Calculations'!$C$40:$C$130,MATCH(F422,'MP Calculations'!$D$40:$D$130,0),0),-1))</f>
        <v>162.80856620521996</v>
      </c>
    </row>
    <row r="423" spans="3:17">
      <c r="C423" s="159"/>
      <c r="D423" s="165" t="s">
        <v>282</v>
      </c>
      <c r="E423" s="161">
        <v>40962</v>
      </c>
      <c r="F423" s="172" t="str">
        <f t="shared" si="20"/>
        <v>2011-12</v>
      </c>
      <c r="G423" s="68"/>
      <c r="H423" s="167" t="s">
        <v>293</v>
      </c>
      <c r="I423" s="173">
        <v>20414.77563211487</v>
      </c>
      <c r="J423" s="168">
        <f>IFERROR(MIN('MP Calculations'!$E$30/I423,1),"-")</f>
        <v>0.40513348981719682</v>
      </c>
      <c r="K423" s="12"/>
      <c r="L423" s="159">
        <v>2.6893729999999998</v>
      </c>
      <c r="M423" s="159" t="s">
        <v>294</v>
      </c>
      <c r="N423" s="159">
        <v>511</v>
      </c>
      <c r="O423" s="185">
        <f t="shared" si="23"/>
        <v>1374.269603</v>
      </c>
      <c r="P423" s="215">
        <f t="shared" si="21"/>
        <v>556.76264021308361</v>
      </c>
      <c r="Q423" s="215" cm="1">
        <f t="array" ref="Q423">IF(P423="-",0,P423/(1+'General inputs'!$H$32)^IFERROR(INDEX('MP Calculations'!$C$40:$C$130,MATCH(F423,'MP Calculations'!$D$40:$D$130,0),0),-1))</f>
        <v>875.41703661997758</v>
      </c>
    </row>
    <row r="424" spans="3:17">
      <c r="C424" s="159"/>
      <c r="D424" s="165" t="s">
        <v>282</v>
      </c>
      <c r="E424" s="161">
        <v>40962</v>
      </c>
      <c r="F424" s="172" t="str">
        <f t="shared" si="20"/>
        <v>2011-12</v>
      </c>
      <c r="G424" s="68"/>
      <c r="H424" s="167" t="s">
        <v>293</v>
      </c>
      <c r="I424" s="173">
        <v>20414.77563211487</v>
      </c>
      <c r="J424" s="168">
        <f>IFERROR(MIN('MP Calculations'!$E$30/I424,1),"-")</f>
        <v>0.40513348981719682</v>
      </c>
      <c r="K424" s="12"/>
      <c r="L424" s="159">
        <v>5.2105240000000004</v>
      </c>
      <c r="M424" s="159" t="s">
        <v>294</v>
      </c>
      <c r="N424" s="159">
        <v>511</v>
      </c>
      <c r="O424" s="185">
        <f t="shared" si="23"/>
        <v>2662.5777640000001</v>
      </c>
      <c r="P424" s="215">
        <f t="shared" si="21"/>
        <v>1078.6994214389888</v>
      </c>
      <c r="Q424" s="215" cm="1">
        <f t="array" ref="Q424">IF(P424="-",0,P424/(1+'General inputs'!$H$32)^IFERROR(INDEX('MP Calculations'!$C$40:$C$130,MATCH(F424,'MP Calculations'!$D$40:$D$130,0),0),-1))</f>
        <v>1696.0761780970033</v>
      </c>
    </row>
    <row r="425" spans="3:17">
      <c r="C425" s="159"/>
      <c r="D425" s="165" t="s">
        <v>282</v>
      </c>
      <c r="E425" s="161">
        <v>40962</v>
      </c>
      <c r="F425" s="172" t="str">
        <f t="shared" si="20"/>
        <v>2011-12</v>
      </c>
      <c r="G425" s="68"/>
      <c r="H425" s="167" t="s">
        <v>293</v>
      </c>
      <c r="I425" s="173">
        <v>20414.77563211487</v>
      </c>
      <c r="J425" s="168">
        <f>IFERROR(MIN('MP Calculations'!$E$30/I425,1),"-")</f>
        <v>0.40513348981719682</v>
      </c>
      <c r="K425" s="12"/>
      <c r="L425" s="159">
        <v>0.810971</v>
      </c>
      <c r="M425" s="159" t="s">
        <v>294</v>
      </c>
      <c r="N425" s="159">
        <v>511</v>
      </c>
      <c r="O425" s="185">
        <f t="shared" si="23"/>
        <v>414.406181</v>
      </c>
      <c r="P425" s="215">
        <f t="shared" si="21"/>
        <v>167.88982231034691</v>
      </c>
      <c r="Q425" s="215" cm="1">
        <f t="array" ref="Q425">IF(P425="-",0,P425/(1+'General inputs'!$H$32)^IFERROR(INDEX('MP Calculations'!$C$40:$C$130,MATCH(F425,'MP Calculations'!$D$40:$D$130,0),0),-1))</f>
        <v>263.97893843834225</v>
      </c>
    </row>
    <row r="426" spans="3:17">
      <c r="C426" s="159"/>
      <c r="D426" s="165" t="s">
        <v>282</v>
      </c>
      <c r="E426" s="161">
        <v>40962</v>
      </c>
      <c r="F426" s="172" t="str">
        <f t="shared" si="20"/>
        <v>2011-12</v>
      </c>
      <c r="G426" s="68"/>
      <c r="H426" s="167" t="s">
        <v>293</v>
      </c>
      <c r="I426" s="173">
        <v>20414.77563211487</v>
      </c>
      <c r="J426" s="168">
        <f>IFERROR(MIN('MP Calculations'!$E$30/I426,1),"-")</f>
        <v>0.40513348981719682</v>
      </c>
      <c r="K426" s="12"/>
      <c r="L426" s="159">
        <v>6.7756850000000002</v>
      </c>
      <c r="M426" s="159" t="s">
        <v>294</v>
      </c>
      <c r="N426" s="159">
        <v>511</v>
      </c>
      <c r="O426" s="185">
        <f t="shared" si="23"/>
        <v>3462.375035</v>
      </c>
      <c r="P426" s="215">
        <f t="shared" si="21"/>
        <v>1402.7240809854891</v>
      </c>
      <c r="Q426" s="215" cm="1">
        <f t="array" ref="Q426">IF(P426="-",0,P426/(1+'General inputs'!$H$32)^IFERROR(INDEX('MP Calculations'!$C$40:$C$130,MATCH(F426,'MP Calculations'!$D$40:$D$130,0),0),-1))</f>
        <v>2205.5512878914278</v>
      </c>
    </row>
    <row r="427" spans="3:17">
      <c r="C427" s="159"/>
      <c r="D427" s="165" t="s">
        <v>282</v>
      </c>
      <c r="E427" s="161">
        <v>40962</v>
      </c>
      <c r="F427" s="172" t="str">
        <f t="shared" si="20"/>
        <v>2011-12</v>
      </c>
      <c r="G427" s="68"/>
      <c r="H427" s="167" t="s">
        <v>293</v>
      </c>
      <c r="I427" s="173">
        <v>20414.77563211487</v>
      </c>
      <c r="J427" s="168">
        <f>IFERROR(MIN('MP Calculations'!$E$30/I427,1),"-")</f>
        <v>0.40513348981719682</v>
      </c>
      <c r="K427" s="12"/>
      <c r="L427" s="159">
        <v>1.2193799999999999</v>
      </c>
      <c r="M427" s="159" t="s">
        <v>294</v>
      </c>
      <c r="N427" s="159">
        <v>511</v>
      </c>
      <c r="O427" s="185">
        <f t="shared" si="23"/>
        <v>623.10317999999995</v>
      </c>
      <c r="P427" s="215">
        <f t="shared" si="21"/>
        <v>252.43996582959295</v>
      </c>
      <c r="Q427" s="215" cm="1">
        <f t="array" ref="Q427">IF(P427="-",0,P427/(1+'General inputs'!$H$32)^IFERROR(INDEX('MP Calculations'!$C$40:$C$130,MATCH(F427,'MP Calculations'!$D$40:$D$130,0),0),-1))</f>
        <v>396.92003530699094</v>
      </c>
    </row>
    <row r="428" spans="3:17">
      <c r="C428" s="159"/>
      <c r="D428" s="165" t="s">
        <v>282</v>
      </c>
      <c r="E428" s="161">
        <v>40962</v>
      </c>
      <c r="F428" s="172" t="str">
        <f t="shared" si="20"/>
        <v>2011-12</v>
      </c>
      <c r="G428" s="68"/>
      <c r="H428" s="167" t="s">
        <v>293</v>
      </c>
      <c r="I428" s="173">
        <v>20414.77563211487</v>
      </c>
      <c r="J428" s="168">
        <f>IFERROR(MIN('MP Calculations'!$E$30/I428,1),"-")</f>
        <v>0.40513348981719682</v>
      </c>
      <c r="K428" s="12"/>
      <c r="L428" s="159">
        <v>2.2824270000000002</v>
      </c>
      <c r="M428" s="159" t="s">
        <v>294</v>
      </c>
      <c r="N428" s="159">
        <v>511</v>
      </c>
      <c r="O428" s="185">
        <f t="shared" si="23"/>
        <v>1166.320197</v>
      </c>
      <c r="P428" s="215">
        <f t="shared" si="21"/>
        <v>472.51537165489049</v>
      </c>
      <c r="Q428" s="215" cm="1">
        <f t="array" ref="Q428">IF(P428="-",0,P428/(1+'General inputs'!$H$32)^IFERROR(INDEX('MP Calculations'!$C$40:$C$130,MATCH(F428,'MP Calculations'!$D$40:$D$130,0),0),-1))</f>
        <v>742.95216046321036</v>
      </c>
    </row>
    <row r="429" spans="3:17">
      <c r="C429" s="159"/>
      <c r="D429" s="165" t="s">
        <v>282</v>
      </c>
      <c r="E429" s="161">
        <v>40962</v>
      </c>
      <c r="F429" s="172" t="str">
        <f t="shared" si="20"/>
        <v>2011-12</v>
      </c>
      <c r="G429" s="68"/>
      <c r="H429" s="167" t="s">
        <v>293</v>
      </c>
      <c r="I429" s="173">
        <v>20414.77563211487</v>
      </c>
      <c r="J429" s="168">
        <f>IFERROR(MIN('MP Calculations'!$E$30/I429,1),"-")</f>
        <v>0.40513348981719682</v>
      </c>
      <c r="K429" s="12"/>
      <c r="L429" s="159">
        <v>1.9558850000000001</v>
      </c>
      <c r="M429" s="159" t="s">
        <v>294</v>
      </c>
      <c r="N429" s="159">
        <v>511</v>
      </c>
      <c r="O429" s="185">
        <f t="shared" si="23"/>
        <v>999.45723500000008</v>
      </c>
      <c r="P429" s="215">
        <f t="shared" si="21"/>
        <v>404.91359753859621</v>
      </c>
      <c r="Q429" s="215" cm="1">
        <f t="array" ref="Q429">IF(P429="-",0,P429/(1+'General inputs'!$H$32)^IFERROR(INDEX('MP Calculations'!$C$40:$C$130,MATCH(F429,'MP Calculations'!$D$40:$D$130,0),0),-1))</f>
        <v>636.65956736736211</v>
      </c>
    </row>
    <row r="430" spans="3:17">
      <c r="C430" s="159"/>
      <c r="D430" s="165" t="s">
        <v>291</v>
      </c>
      <c r="E430" s="161">
        <v>40962</v>
      </c>
      <c r="F430" s="172" t="str">
        <f t="shared" si="20"/>
        <v>2011-12</v>
      </c>
      <c r="G430" s="68"/>
      <c r="H430" s="167" t="s">
        <v>293</v>
      </c>
      <c r="I430" s="173">
        <v>20414.77563211487</v>
      </c>
      <c r="J430" s="168">
        <f>IFERROR(MIN('MP Calculations'!$E$30/I430,1),"-")</f>
        <v>0.40513348981719682</v>
      </c>
      <c r="K430" s="12"/>
      <c r="L430" s="159">
        <v>182.88095999999999</v>
      </c>
      <c r="M430" s="159" t="s">
        <v>294</v>
      </c>
      <c r="N430" s="159">
        <v>589</v>
      </c>
      <c r="O430" s="185">
        <f t="shared" si="23"/>
        <v>107716.88544</v>
      </c>
      <c r="P430" s="215">
        <f t="shared" si="21"/>
        <v>43639.717710546392</v>
      </c>
      <c r="Q430" s="215" cm="1">
        <f t="array" ref="Q430">IF(P430="-",0,P430/(1+'General inputs'!$H$32)^IFERROR(INDEX('MP Calculations'!$C$40:$C$130,MATCH(F430,'MP Calculations'!$D$40:$D$130,0),0),-1))</f>
        <v>68616.22816947251</v>
      </c>
    </row>
    <row r="431" spans="3:17">
      <c r="C431" s="159"/>
      <c r="D431" s="165" t="s">
        <v>282</v>
      </c>
      <c r="E431" s="161">
        <v>40962</v>
      </c>
      <c r="F431" s="172" t="str">
        <f t="shared" si="20"/>
        <v>2011-12</v>
      </c>
      <c r="G431" s="68"/>
      <c r="H431" s="167" t="s">
        <v>293</v>
      </c>
      <c r="I431" s="173">
        <v>20414.77563211487</v>
      </c>
      <c r="J431" s="168">
        <f>IFERROR(MIN('MP Calculations'!$E$30/I431,1),"-")</f>
        <v>0.40513348981719682</v>
      </c>
      <c r="K431" s="12"/>
      <c r="L431" s="159">
        <v>89.676052999999996</v>
      </c>
      <c r="M431" s="159" t="s">
        <v>294</v>
      </c>
      <c r="N431" s="159">
        <v>511</v>
      </c>
      <c r="O431" s="185">
        <f t="shared" si="23"/>
        <v>45824.463082999995</v>
      </c>
      <c r="P431" s="215">
        <f t="shared" si="21"/>
        <v>18565.024647815091</v>
      </c>
      <c r="Q431" s="215" cm="1">
        <f t="array" ref="Q431">IF(P431="-",0,P431/(1+'General inputs'!$H$32)^IFERROR(INDEX('MP Calculations'!$C$40:$C$130,MATCH(F431,'MP Calculations'!$D$40:$D$130,0),0),-1))</f>
        <v>29190.426383040227</v>
      </c>
    </row>
    <row r="432" spans="3:17">
      <c r="C432" s="159"/>
      <c r="D432" s="165" t="s">
        <v>282</v>
      </c>
      <c r="E432" s="161">
        <v>40962</v>
      </c>
      <c r="F432" s="172" t="str">
        <f t="shared" si="20"/>
        <v>2011-12</v>
      </c>
      <c r="G432" s="68"/>
      <c r="H432" s="167" t="s">
        <v>293</v>
      </c>
      <c r="I432" s="173">
        <v>20414.77563211487</v>
      </c>
      <c r="J432" s="168">
        <f>IFERROR(MIN('MP Calculations'!$E$30/I432,1),"-")</f>
        <v>0.40513348981719682</v>
      </c>
      <c r="K432" s="12"/>
      <c r="L432" s="159">
        <v>22.766285</v>
      </c>
      <c r="M432" s="159" t="s">
        <v>294</v>
      </c>
      <c r="N432" s="159">
        <v>511</v>
      </c>
      <c r="O432" s="185">
        <f t="shared" si="23"/>
        <v>11633.571635</v>
      </c>
      <c r="P432" s="215">
        <f t="shared" si="21"/>
        <v>4713.1494755259027</v>
      </c>
      <c r="Q432" s="215" cm="1">
        <f t="array" ref="Q432">IF(P432="-",0,P432/(1+'General inputs'!$H$32)^IFERROR(INDEX('MP Calculations'!$C$40:$C$130,MATCH(F432,'MP Calculations'!$D$40:$D$130,0),0),-1))</f>
        <v>7410.6469238539421</v>
      </c>
    </row>
    <row r="433" spans="3:17">
      <c r="C433" s="159"/>
      <c r="D433" s="165" t="s">
        <v>282</v>
      </c>
      <c r="E433" s="161">
        <v>40962</v>
      </c>
      <c r="F433" s="172" t="str">
        <f t="shared" si="20"/>
        <v>2011-12</v>
      </c>
      <c r="G433" s="68"/>
      <c r="H433" s="167" t="s">
        <v>293</v>
      </c>
      <c r="I433" s="173">
        <v>20414.77563211487</v>
      </c>
      <c r="J433" s="168">
        <f>IFERROR(MIN('MP Calculations'!$E$30/I433,1),"-")</f>
        <v>0.40513348981719682</v>
      </c>
      <c r="K433" s="12"/>
      <c r="L433" s="159">
        <v>6.852614</v>
      </c>
      <c r="M433" s="159" t="s">
        <v>294</v>
      </c>
      <c r="N433" s="159">
        <v>511</v>
      </c>
      <c r="O433" s="185">
        <f t="shared" si="23"/>
        <v>3501.6857540000001</v>
      </c>
      <c r="P433" s="215">
        <f t="shared" si="21"/>
        <v>1418.6501697611823</v>
      </c>
      <c r="Q433" s="215" cm="1">
        <f t="array" ref="Q433">IF(P433="-",0,P433/(1+'General inputs'!$H$32)^IFERROR(INDEX('MP Calculations'!$C$40:$C$130,MATCH(F433,'MP Calculations'!$D$40:$D$130,0),0),-1))</f>
        <v>2230.5924246954851</v>
      </c>
    </row>
    <row r="434" spans="3:17">
      <c r="C434" s="159"/>
      <c r="D434" s="165" t="s">
        <v>282</v>
      </c>
      <c r="E434" s="161">
        <v>40962</v>
      </c>
      <c r="F434" s="172" t="str">
        <f t="shared" si="20"/>
        <v>2011-12</v>
      </c>
      <c r="G434" s="68"/>
      <c r="H434" s="167" t="s">
        <v>293</v>
      </c>
      <c r="I434" s="173">
        <v>20414.77563211487</v>
      </c>
      <c r="J434" s="168">
        <f>IFERROR(MIN('MP Calculations'!$E$30/I434,1),"-")</f>
        <v>0.40513348981719682</v>
      </c>
      <c r="K434" s="12"/>
      <c r="L434" s="159">
        <v>0.92323100000000002</v>
      </c>
      <c r="M434" s="159" t="s">
        <v>294</v>
      </c>
      <c r="N434" s="159">
        <v>511</v>
      </c>
      <c r="O434" s="185">
        <f t="shared" si="23"/>
        <v>471.77104100000003</v>
      </c>
      <c r="P434" s="215">
        <f t="shared" si="21"/>
        <v>191.13024823502187</v>
      </c>
      <c r="Q434" s="215" cm="1">
        <f t="array" ref="Q434">IF(P434="-",0,P434/(1+'General inputs'!$H$32)^IFERROR(INDEX('MP Calculations'!$C$40:$C$130,MATCH(F434,'MP Calculations'!$D$40:$D$130,0),0),-1))</f>
        <v>300.52065895496781</v>
      </c>
    </row>
    <row r="435" spans="3:17">
      <c r="C435" s="159"/>
      <c r="D435" s="165" t="s">
        <v>340</v>
      </c>
      <c r="E435" s="161">
        <v>41030</v>
      </c>
      <c r="F435" s="172" t="str">
        <f t="shared" si="20"/>
        <v>2011-12</v>
      </c>
      <c r="G435" s="68"/>
      <c r="H435" s="167" t="s">
        <v>293</v>
      </c>
      <c r="I435" s="173">
        <v>20414.77563211487</v>
      </c>
      <c r="J435" s="168">
        <f>IFERROR(MIN('MP Calculations'!$E$30/I435,1),"-")</f>
        <v>0.40513348981719682</v>
      </c>
      <c r="K435" s="12"/>
      <c r="L435" s="159">
        <v>1</v>
      </c>
      <c r="M435" s="159" t="s">
        <v>295</v>
      </c>
      <c r="N435" s="159">
        <v>36936.22</v>
      </c>
      <c r="O435" s="185">
        <f t="shared" si="23"/>
        <v>36936.22</v>
      </c>
      <c r="P435" s="215">
        <f t="shared" si="21"/>
        <v>14964.099709255743</v>
      </c>
      <c r="Q435" s="215" cm="1">
        <f t="array" ref="Q435">IF(P435="-",0,P435/(1+'General inputs'!$H$32)^IFERROR(INDEX('MP Calculations'!$C$40:$C$130,MATCH(F435,'MP Calculations'!$D$40:$D$130,0),0),-1))</f>
        <v>23528.568328774676</v>
      </c>
    </row>
    <row r="436" spans="3:17">
      <c r="C436" s="159"/>
      <c r="D436" s="165" t="s">
        <v>281</v>
      </c>
      <c r="E436" s="161">
        <v>41045</v>
      </c>
      <c r="F436" s="172" t="str">
        <f t="shared" si="20"/>
        <v>2011-12</v>
      </c>
      <c r="G436" s="68"/>
      <c r="H436" s="167" t="s">
        <v>293</v>
      </c>
      <c r="I436" s="173">
        <v>20414.77563211487</v>
      </c>
      <c r="J436" s="168">
        <f>IFERROR(MIN('MP Calculations'!$E$30/I436,1),"-")</f>
        <v>0.40513348981719682</v>
      </c>
      <c r="K436" s="12"/>
      <c r="L436" s="159">
        <v>159.36304799999999</v>
      </c>
      <c r="M436" s="159" t="s">
        <v>294</v>
      </c>
      <c r="N436" s="159">
        <v>350</v>
      </c>
      <c r="O436" s="185">
        <f t="shared" si="23"/>
        <v>55777.066800000001</v>
      </c>
      <c r="P436" s="215">
        <f t="shared" si="21"/>
        <v>22597.157724450906</v>
      </c>
      <c r="Q436" s="215" cm="1">
        <f t="array" ref="Q436">IF(P436="-",0,P436/(1+'General inputs'!$H$32)^IFERROR(INDEX('MP Calculations'!$C$40:$C$130,MATCH(F436,'MP Calculations'!$D$40:$D$130,0),0),-1))</f>
        <v>35530.287814574134</v>
      </c>
    </row>
    <row r="437" spans="3:17">
      <c r="C437" s="159"/>
      <c r="D437" s="165" t="s">
        <v>281</v>
      </c>
      <c r="E437" s="161">
        <v>41045</v>
      </c>
      <c r="F437" s="172" t="str">
        <f t="shared" si="20"/>
        <v>2011-12</v>
      </c>
      <c r="G437" s="68"/>
      <c r="H437" s="167" t="s">
        <v>293</v>
      </c>
      <c r="I437" s="173">
        <v>20414.77563211487</v>
      </c>
      <c r="J437" s="168">
        <f>IFERROR(MIN('MP Calculations'!$E$30/I437,1),"-")</f>
        <v>0.40513348981719682</v>
      </c>
      <c r="K437" s="12"/>
      <c r="L437" s="159">
        <v>31.899280999999998</v>
      </c>
      <c r="M437" s="159" t="s">
        <v>294</v>
      </c>
      <c r="N437" s="159">
        <v>350</v>
      </c>
      <c r="O437" s="185">
        <f t="shared" si="23"/>
        <v>11164.74835</v>
      </c>
      <c r="P437" s="215">
        <f t="shared" si="21"/>
        <v>4523.2134619662902</v>
      </c>
      <c r="Q437" s="215" cm="1">
        <f t="array" ref="Q437">IF(P437="-",0,P437/(1+'General inputs'!$H$32)^IFERROR(INDEX('MP Calculations'!$C$40:$C$130,MATCH(F437,'MP Calculations'!$D$40:$D$130,0),0),-1))</f>
        <v>7112.0040011281426</v>
      </c>
    </row>
    <row r="438" spans="3:17">
      <c r="C438" s="159"/>
      <c r="D438" s="165" t="s">
        <v>281</v>
      </c>
      <c r="E438" s="161">
        <v>41045</v>
      </c>
      <c r="F438" s="172" t="str">
        <f t="shared" si="20"/>
        <v>2011-12</v>
      </c>
      <c r="G438" s="68"/>
      <c r="H438" s="167" t="s">
        <v>293</v>
      </c>
      <c r="I438" s="173">
        <v>20414.77563211487</v>
      </c>
      <c r="J438" s="168">
        <f>IFERROR(MIN('MP Calculations'!$E$30/I438,1),"-")</f>
        <v>0.40513348981719682</v>
      </c>
      <c r="K438" s="12"/>
      <c r="L438" s="159">
        <v>1.3865970000000001</v>
      </c>
      <c r="M438" s="159" t="s">
        <v>294</v>
      </c>
      <c r="N438" s="159">
        <v>350</v>
      </c>
      <c r="O438" s="185">
        <f t="shared" si="23"/>
        <v>485.30895000000004</v>
      </c>
      <c r="P438" s="215">
        <f t="shared" si="21"/>
        <v>196.61490855301949</v>
      </c>
      <c r="Q438" s="215" cm="1">
        <f t="array" ref="Q438">IF(P438="-",0,P438/(1+'General inputs'!$H$32)^IFERROR(INDEX('MP Calculations'!$C$40:$C$130,MATCH(F438,'MP Calculations'!$D$40:$D$130,0),0),-1))</f>
        <v>309.1443788953199</v>
      </c>
    </row>
    <row r="439" spans="3:17">
      <c r="C439" s="159"/>
      <c r="D439" s="165" t="s">
        <v>341</v>
      </c>
      <c r="E439" s="161">
        <v>41244</v>
      </c>
      <c r="F439" s="172" t="str">
        <f t="shared" si="20"/>
        <v>2012-13</v>
      </c>
      <c r="G439" s="68"/>
      <c r="H439" s="167" t="s">
        <v>293</v>
      </c>
      <c r="I439" s="173">
        <v>20414.77563211487</v>
      </c>
      <c r="J439" s="168">
        <f>IFERROR(MIN('MP Calculations'!$E$30/I439,1),"-")</f>
        <v>0.40513348981719682</v>
      </c>
      <c r="K439" s="12"/>
      <c r="L439" s="159">
        <v>1</v>
      </c>
      <c r="M439" s="159" t="s">
        <v>295</v>
      </c>
      <c r="N439" s="159">
        <v>74795.8</v>
      </c>
      <c r="O439" s="185">
        <f t="shared" si="23"/>
        <v>74795.8</v>
      </c>
      <c r="P439" s="215">
        <f t="shared" si="21"/>
        <v>30302.283477669091</v>
      </c>
      <c r="Q439" s="215" cm="1">
        <f t="array" ref="Q439">IF(P439="-",0,P439/(1+'General inputs'!$H$32)^IFERROR(INDEX('MP Calculations'!$C$40:$C$130,MATCH(F439,'MP Calculations'!$D$40:$D$130,0),0),-1))</f>
        <v>45724.877046091213</v>
      </c>
    </row>
    <row r="440" spans="3:17">
      <c r="C440" s="159"/>
      <c r="D440" s="165" t="s">
        <v>281</v>
      </c>
      <c r="E440" s="161">
        <v>41247</v>
      </c>
      <c r="F440" s="172" t="str">
        <f t="shared" si="20"/>
        <v>2012-13</v>
      </c>
      <c r="G440" s="68"/>
      <c r="H440" s="167" t="s">
        <v>293</v>
      </c>
      <c r="I440" s="173">
        <v>20414.77563211487</v>
      </c>
      <c r="J440" s="168">
        <f>IFERROR(MIN('MP Calculations'!$E$30/I440,1),"-")</f>
        <v>0.40513348981719682</v>
      </c>
      <c r="K440" s="12"/>
      <c r="L440" s="159">
        <v>8.1029319999999991</v>
      </c>
      <c r="M440" s="159" t="s">
        <v>294</v>
      </c>
      <c r="N440" s="159">
        <v>350</v>
      </c>
      <c r="O440" s="185">
        <f t="shared" si="23"/>
        <v>2836.0261999999998</v>
      </c>
      <c r="P440" s="215">
        <f t="shared" si="21"/>
        <v>1148.9691916190034</v>
      </c>
      <c r="Q440" s="215" cm="1">
        <f t="array" ref="Q440">IF(P440="-",0,P440/(1+'General inputs'!$H$32)^IFERROR(INDEX('MP Calculations'!$C$40:$C$130,MATCH(F440,'MP Calculations'!$D$40:$D$130,0),0),-1))</f>
        <v>1733.7464041362387</v>
      </c>
    </row>
    <row r="441" spans="3:17">
      <c r="C441" s="159"/>
      <c r="D441" s="165" t="s">
        <v>281</v>
      </c>
      <c r="E441" s="161">
        <v>41247</v>
      </c>
      <c r="F441" s="172" t="str">
        <f t="shared" si="20"/>
        <v>2012-13</v>
      </c>
      <c r="G441" s="68"/>
      <c r="H441" s="167" t="s">
        <v>293</v>
      </c>
      <c r="I441" s="173">
        <v>20414.77563211487</v>
      </c>
      <c r="J441" s="168">
        <f>IFERROR(MIN('MP Calculations'!$E$30/I441,1),"-")</f>
        <v>0.40513348981719682</v>
      </c>
      <c r="K441" s="12"/>
      <c r="L441" s="159">
        <v>26.297993000000002</v>
      </c>
      <c r="M441" s="159" t="s">
        <v>294</v>
      </c>
      <c r="N441" s="159">
        <v>350</v>
      </c>
      <c r="O441" s="185">
        <f t="shared" si="23"/>
        <v>9204.2975500000011</v>
      </c>
      <c r="P441" s="215">
        <f t="shared" si="21"/>
        <v>3728.9691877473751</v>
      </c>
      <c r="Q441" s="215" cm="1">
        <f t="array" ref="Q441">IF(P441="-",0,P441/(1+'General inputs'!$H$32)^IFERROR(INDEX('MP Calculations'!$C$40:$C$130,MATCH(F441,'MP Calculations'!$D$40:$D$130,0),0),-1))</f>
        <v>5626.8583766653828</v>
      </c>
    </row>
    <row r="442" spans="3:17">
      <c r="C442" s="159"/>
      <c r="D442" s="165" t="s">
        <v>281</v>
      </c>
      <c r="E442" s="161">
        <v>41247</v>
      </c>
      <c r="F442" s="172" t="str">
        <f t="shared" si="20"/>
        <v>2012-13</v>
      </c>
      <c r="G442" s="68"/>
      <c r="H442" s="167" t="s">
        <v>293</v>
      </c>
      <c r="I442" s="173">
        <v>20414.77563211487</v>
      </c>
      <c r="J442" s="168">
        <f>IFERROR(MIN('MP Calculations'!$E$30/I442,1),"-")</f>
        <v>0.40513348981719682</v>
      </c>
      <c r="K442" s="12"/>
      <c r="L442" s="159">
        <v>80.010827000000006</v>
      </c>
      <c r="M442" s="159" t="s">
        <v>294</v>
      </c>
      <c r="N442" s="159">
        <v>350</v>
      </c>
      <c r="O442" s="185">
        <f t="shared" si="23"/>
        <v>28003.789450000004</v>
      </c>
      <c r="P442" s="215">
        <f t="shared" si="21"/>
        <v>11345.2729479845</v>
      </c>
      <c r="Q442" s="215" cm="1">
        <f t="array" ref="Q442">IF(P442="-",0,P442/(1+'General inputs'!$H$32)^IFERROR(INDEX('MP Calculations'!$C$40:$C$130,MATCH(F442,'MP Calculations'!$D$40:$D$130,0),0),-1))</f>
        <v>17119.541864996114</v>
      </c>
    </row>
    <row r="443" spans="3:17">
      <c r="C443" s="159"/>
      <c r="D443" s="165" t="s">
        <v>281</v>
      </c>
      <c r="E443" s="161">
        <v>41247</v>
      </c>
      <c r="F443" s="172" t="str">
        <f t="shared" si="20"/>
        <v>2012-13</v>
      </c>
      <c r="G443" s="68"/>
      <c r="H443" s="167" t="s">
        <v>293</v>
      </c>
      <c r="I443" s="173">
        <v>20414.77563211487</v>
      </c>
      <c r="J443" s="168">
        <f>IFERROR(MIN('MP Calculations'!$E$30/I443,1),"-")</f>
        <v>0.40513348981719682</v>
      </c>
      <c r="K443" s="12"/>
      <c r="L443" s="159">
        <v>79.649051</v>
      </c>
      <c r="M443" s="159" t="s">
        <v>294</v>
      </c>
      <c r="N443" s="159">
        <v>350</v>
      </c>
      <c r="O443" s="185">
        <f t="shared" si="23"/>
        <v>27877.167850000002</v>
      </c>
      <c r="P443" s="215">
        <f t="shared" si="21"/>
        <v>11293.974297290262</v>
      </c>
      <c r="Q443" s="215" cm="1">
        <f t="array" ref="Q443">IF(P443="-",0,P443/(1+'General inputs'!$H$32)^IFERROR(INDEX('MP Calculations'!$C$40:$C$130,MATCH(F443,'MP Calculations'!$D$40:$D$130,0),0),-1))</f>
        <v>17042.134348913936</v>
      </c>
    </row>
    <row r="444" spans="3:17">
      <c r="C444" s="159"/>
      <c r="D444" s="165" t="s">
        <v>281</v>
      </c>
      <c r="E444" s="161">
        <v>41247</v>
      </c>
      <c r="F444" s="172" t="str">
        <f t="shared" si="20"/>
        <v>2012-13</v>
      </c>
      <c r="G444" s="68"/>
      <c r="H444" s="167" t="s">
        <v>293</v>
      </c>
      <c r="I444" s="173">
        <v>20414.77563211487</v>
      </c>
      <c r="J444" s="168">
        <f>IFERROR(MIN('MP Calculations'!$E$30/I444,1),"-")</f>
        <v>0.40513348981719682</v>
      </c>
      <c r="K444" s="12"/>
      <c r="L444" s="159">
        <v>68.842761999999993</v>
      </c>
      <c r="M444" s="159" t="s">
        <v>294</v>
      </c>
      <c r="N444" s="159">
        <v>350</v>
      </c>
      <c r="O444" s="185">
        <f t="shared" si="23"/>
        <v>24094.966699999997</v>
      </c>
      <c r="P444" s="215">
        <f t="shared" si="21"/>
        <v>9761.677946200145</v>
      </c>
      <c r="Q444" s="215" cm="1">
        <f t="array" ref="Q444">IF(P444="-",0,P444/(1+'General inputs'!$H$32)^IFERROR(INDEX('MP Calculations'!$C$40:$C$130,MATCH(F444,'MP Calculations'!$D$40:$D$130,0),0),-1))</f>
        <v>14729.963310602492</v>
      </c>
    </row>
    <row r="445" spans="3:17">
      <c r="C445" s="159"/>
      <c r="D445" s="165" t="s">
        <v>281</v>
      </c>
      <c r="E445" s="161">
        <v>41247</v>
      </c>
      <c r="F445" s="172" t="str">
        <f t="shared" si="20"/>
        <v>2012-13</v>
      </c>
      <c r="G445" s="68"/>
      <c r="H445" s="167" t="s">
        <v>293</v>
      </c>
      <c r="I445" s="173">
        <v>20414.77563211487</v>
      </c>
      <c r="J445" s="168">
        <f>IFERROR(MIN('MP Calculations'!$E$30/I445,1),"-")</f>
        <v>0.40513348981719682</v>
      </c>
      <c r="K445" s="12"/>
      <c r="L445" s="159">
        <v>71.275715000000005</v>
      </c>
      <c r="M445" s="159" t="s">
        <v>294</v>
      </c>
      <c r="N445" s="159">
        <v>350</v>
      </c>
      <c r="O445" s="185">
        <f t="shared" si="23"/>
        <v>24946.500250000001</v>
      </c>
      <c r="P445" s="215">
        <f t="shared" si="21"/>
        <v>10106.662705008073</v>
      </c>
      <c r="Q445" s="215" cm="1">
        <f t="array" ref="Q445">IF(P445="-",0,P445/(1+'General inputs'!$H$32)^IFERROR(INDEX('MP Calculations'!$C$40:$C$130,MATCH(F445,'MP Calculations'!$D$40:$D$130,0),0),-1))</f>
        <v>15250.530867529107</v>
      </c>
    </row>
    <row r="446" spans="3:17">
      <c r="C446" s="159"/>
      <c r="D446" s="165" t="s">
        <v>281</v>
      </c>
      <c r="E446" s="161">
        <v>41247</v>
      </c>
      <c r="F446" s="172" t="str">
        <f t="shared" si="20"/>
        <v>2012-13</v>
      </c>
      <c r="G446" s="68"/>
      <c r="H446" s="167" t="s">
        <v>293</v>
      </c>
      <c r="I446" s="173">
        <v>20414.77563211487</v>
      </c>
      <c r="J446" s="168">
        <f>IFERROR(MIN('MP Calculations'!$E$30/I446,1),"-")</f>
        <v>0.40513348981719682</v>
      </c>
      <c r="K446" s="12"/>
      <c r="L446" s="159">
        <v>7.9999180000000001</v>
      </c>
      <c r="M446" s="159" t="s">
        <v>294</v>
      </c>
      <c r="N446" s="159">
        <v>350</v>
      </c>
      <c r="O446" s="185">
        <f t="shared" si="23"/>
        <v>2799.9713000000002</v>
      </c>
      <c r="P446" s="215">
        <f t="shared" si="21"/>
        <v>1134.3621441569935</v>
      </c>
      <c r="Q446" s="215" cm="1">
        <f t="array" ref="Q446">IF(P446="-",0,P446/(1+'General inputs'!$H$32)^IFERROR(INDEX('MP Calculations'!$C$40:$C$130,MATCH(F446,'MP Calculations'!$D$40:$D$130,0),0),-1))</f>
        <v>1711.7049810963206</v>
      </c>
    </row>
    <row r="447" spans="3:17">
      <c r="C447" s="159"/>
      <c r="D447" s="165" t="s">
        <v>342</v>
      </c>
      <c r="E447" s="161">
        <v>41467</v>
      </c>
      <c r="F447" s="172" t="str">
        <f t="shared" si="20"/>
        <v>2013-14</v>
      </c>
      <c r="G447" s="68"/>
      <c r="H447" s="167" t="s">
        <v>293</v>
      </c>
      <c r="I447" s="173">
        <v>20414.77563211487</v>
      </c>
      <c r="J447" s="168">
        <f>IFERROR(MIN('MP Calculations'!$E$30/I447,1),"-")</f>
        <v>0.40513348981719682</v>
      </c>
      <c r="K447" s="12"/>
      <c r="L447" s="159">
        <v>1</v>
      </c>
      <c r="M447" s="159" t="s">
        <v>295</v>
      </c>
      <c r="N447" s="159">
        <v>102162.26</v>
      </c>
      <c r="O447" s="185">
        <f t="shared" si="23"/>
        <v>102162.26</v>
      </c>
      <c r="P447" s="215">
        <f t="shared" si="21"/>
        <v>41389.35292141181</v>
      </c>
      <c r="Q447" s="215" cm="1">
        <f t="array" ref="Q447">IF(P447="-",0,P447/(1+'General inputs'!$H$32)^IFERROR(INDEX('MP Calculations'!$C$40:$C$130,MATCH(F447,'MP Calculations'!$D$40:$D$130,0),0),-1))</f>
        <v>59937.428631353003</v>
      </c>
    </row>
    <row r="448" spans="3:17">
      <c r="C448" s="159"/>
      <c r="D448" s="165" t="s">
        <v>343</v>
      </c>
      <c r="E448" s="161">
        <v>41554</v>
      </c>
      <c r="F448" s="172" t="str">
        <f t="shared" si="20"/>
        <v>2013-14</v>
      </c>
      <c r="G448" s="68"/>
      <c r="H448" s="167" t="s">
        <v>293</v>
      </c>
      <c r="I448" s="173">
        <v>20414.77563211487</v>
      </c>
      <c r="J448" s="168">
        <f>IFERROR(MIN('MP Calculations'!$E$30/I448,1),"-")</f>
        <v>0.40513348981719682</v>
      </c>
      <c r="K448" s="12"/>
      <c r="L448" s="159">
        <v>1</v>
      </c>
      <c r="M448" s="159" t="s">
        <v>295</v>
      </c>
      <c r="N448" s="159">
        <v>146.86000000000001</v>
      </c>
      <c r="O448" s="185">
        <f t="shared" si="23"/>
        <v>146.86000000000001</v>
      </c>
      <c r="P448" s="215">
        <f t="shared" si="21"/>
        <v>59.49790431455353</v>
      </c>
      <c r="Q448" s="215" cm="1">
        <f t="array" ref="Q448">IF(P448="-",0,P448/(1+'General inputs'!$H$32)^IFERROR(INDEX('MP Calculations'!$C$40:$C$130,MATCH(F448,'MP Calculations'!$D$40:$D$130,0),0),-1))</f>
        <v>86.161081095900812</v>
      </c>
    </row>
    <row r="449" spans="3:17">
      <c r="C449" s="159"/>
      <c r="D449" s="165" t="s">
        <v>344</v>
      </c>
      <c r="E449" s="161">
        <v>41603</v>
      </c>
      <c r="F449" s="172" t="str">
        <f t="shared" si="20"/>
        <v>2013-14</v>
      </c>
      <c r="G449" s="68"/>
      <c r="H449" s="167" t="s">
        <v>293</v>
      </c>
      <c r="I449" s="173">
        <v>20414.77563211487</v>
      </c>
      <c r="J449" s="168">
        <f>IFERROR(MIN('MP Calculations'!$E$30/I449,1),"-")</f>
        <v>0.40513348981719682</v>
      </c>
      <c r="K449" s="12"/>
      <c r="L449" s="159">
        <v>1</v>
      </c>
      <c r="M449" s="159" t="s">
        <v>295</v>
      </c>
      <c r="N449" s="159">
        <v>4870.05</v>
      </c>
      <c r="O449" s="185">
        <f t="shared" si="23"/>
        <v>4870.05</v>
      </c>
      <c r="P449" s="215">
        <f t="shared" si="21"/>
        <v>1973.0203520842394</v>
      </c>
      <c r="Q449" s="215" cm="1">
        <f t="array" ref="Q449">IF(P449="-",0,P449/(1+'General inputs'!$H$32)^IFERROR(INDEX('MP Calculations'!$C$40:$C$130,MATCH(F449,'MP Calculations'!$D$40:$D$130,0),0),-1))</f>
        <v>2857.2025942468454</v>
      </c>
    </row>
    <row r="450" spans="3:17">
      <c r="C450" s="159"/>
      <c r="D450" s="165" t="s">
        <v>345</v>
      </c>
      <c r="E450" s="161">
        <v>41640</v>
      </c>
      <c r="F450" s="172" t="str">
        <f t="shared" si="20"/>
        <v>2013-14</v>
      </c>
      <c r="G450" s="68"/>
      <c r="H450" s="167" t="s">
        <v>293</v>
      </c>
      <c r="I450" s="173">
        <v>20414.77563211487</v>
      </c>
      <c r="J450" s="168">
        <f>IFERROR(MIN('MP Calculations'!$E$30/I450,1),"-")</f>
        <v>0.40513348981719682</v>
      </c>
      <c r="K450" s="12"/>
      <c r="L450" s="159">
        <v>1</v>
      </c>
      <c r="M450" s="159" t="s">
        <v>295</v>
      </c>
      <c r="N450" s="159">
        <v>67938.77</v>
      </c>
      <c r="O450" s="185">
        <f t="shared" si="23"/>
        <v>67938.77</v>
      </c>
      <c r="P450" s="215">
        <f t="shared" si="21"/>
        <v>27524.270983987877</v>
      </c>
      <c r="Q450" s="215" cm="1">
        <f t="array" ref="Q450">IF(P450="-",0,P450/(1+'General inputs'!$H$32)^IFERROR(INDEX('MP Calculations'!$C$40:$C$130,MATCH(F450,'MP Calculations'!$D$40:$D$130,0),0),-1))</f>
        <v>39858.898757495248</v>
      </c>
    </row>
    <row r="451" spans="3:17">
      <c r="C451" s="159"/>
      <c r="D451" s="165" t="s">
        <v>346</v>
      </c>
      <c r="E451" s="161">
        <v>41640</v>
      </c>
      <c r="F451" s="172" t="str">
        <f t="shared" si="20"/>
        <v>2013-14</v>
      </c>
      <c r="G451" s="68"/>
      <c r="H451" s="167" t="s">
        <v>293</v>
      </c>
      <c r="I451" s="173">
        <v>20414.77563211487</v>
      </c>
      <c r="J451" s="168">
        <f>IFERROR(MIN('MP Calculations'!$E$30/I451,1),"-")</f>
        <v>0.40513348981719682</v>
      </c>
      <c r="K451" s="12"/>
      <c r="L451" s="159">
        <v>1</v>
      </c>
      <c r="M451" s="159" t="s">
        <v>295</v>
      </c>
      <c r="N451" s="159">
        <v>45285.83</v>
      </c>
      <c r="O451" s="185">
        <f t="shared" si="23"/>
        <v>45285.83</v>
      </c>
      <c r="P451" s="215">
        <f t="shared" si="21"/>
        <v>18346.806347168305</v>
      </c>
      <c r="Q451" s="215" cm="1">
        <f t="array" ref="Q451">IF(P451="-",0,P451/(1+'General inputs'!$H$32)^IFERROR(INDEX('MP Calculations'!$C$40:$C$130,MATCH(F451,'MP Calculations'!$D$40:$D$130,0),0),-1))</f>
        <v>26568.678136491741</v>
      </c>
    </row>
    <row r="452" spans="3:17">
      <c r="C452" s="159"/>
      <c r="D452" s="165" t="s">
        <v>281</v>
      </c>
      <c r="E452" s="161">
        <v>41809</v>
      </c>
      <c r="F452" s="172" t="str">
        <f t="shared" si="20"/>
        <v>2013-14</v>
      </c>
      <c r="G452" s="68"/>
      <c r="H452" s="167" t="s">
        <v>293</v>
      </c>
      <c r="I452" s="173">
        <v>20414.77563211487</v>
      </c>
      <c r="J452" s="168">
        <f>IFERROR(MIN('MP Calculations'!$E$30/I452,1),"-")</f>
        <v>0.40513348981719682</v>
      </c>
      <c r="K452" s="12"/>
      <c r="L452" s="159">
        <v>18.878591</v>
      </c>
      <c r="M452" s="159" t="s">
        <v>294</v>
      </c>
      <c r="N452" s="159">
        <v>350</v>
      </c>
      <c r="O452" s="185">
        <f t="shared" si="23"/>
        <v>6607.5068499999998</v>
      </c>
      <c r="P452" s="215">
        <f t="shared" si="21"/>
        <v>2676.922309131533</v>
      </c>
      <c r="Q452" s="215" cm="1">
        <f t="array" ref="Q452">IF(P452="-",0,P452/(1+'General inputs'!$H$32)^IFERROR(INDEX('MP Calculations'!$C$40:$C$130,MATCH(F452,'MP Calculations'!$D$40:$D$130,0),0),-1))</f>
        <v>3876.5486418668802</v>
      </c>
    </row>
    <row r="453" spans="3:17">
      <c r="C453" s="159"/>
      <c r="D453" s="165" t="s">
        <v>281</v>
      </c>
      <c r="E453" s="161">
        <v>41809</v>
      </c>
      <c r="F453" s="172" t="str">
        <f t="shared" si="20"/>
        <v>2013-14</v>
      </c>
      <c r="G453" s="68"/>
      <c r="H453" s="167" t="s">
        <v>293</v>
      </c>
      <c r="I453" s="173">
        <v>20414.77563211487</v>
      </c>
      <c r="J453" s="168">
        <f>IFERROR(MIN('MP Calculations'!$E$30/I453,1),"-")</f>
        <v>0.40513348981719682</v>
      </c>
      <c r="K453" s="12"/>
      <c r="L453" s="159">
        <v>0.50492099999999995</v>
      </c>
      <c r="M453" s="159" t="s">
        <v>294</v>
      </c>
      <c r="N453" s="159">
        <v>350</v>
      </c>
      <c r="O453" s="185">
        <f t="shared" si="23"/>
        <v>176.72234999999998</v>
      </c>
      <c r="P453" s="215">
        <f t="shared" si="21"/>
        <v>71.596142384196085</v>
      </c>
      <c r="Q453" s="215" cm="1">
        <f t="array" ref="Q453">IF(P453="-",0,P453/(1+'General inputs'!$H$32)^IFERROR(INDEX('MP Calculations'!$C$40:$C$130,MATCH(F453,'MP Calculations'!$D$40:$D$130,0),0),-1))</f>
        <v>103.68098004772003</v>
      </c>
    </row>
    <row r="454" spans="3:17">
      <c r="C454" s="159"/>
      <c r="D454" s="165" t="s">
        <v>281</v>
      </c>
      <c r="E454" s="161">
        <v>41809</v>
      </c>
      <c r="F454" s="172" t="str">
        <f t="shared" si="20"/>
        <v>2013-14</v>
      </c>
      <c r="G454" s="68"/>
      <c r="H454" s="167" t="s">
        <v>293</v>
      </c>
      <c r="I454" s="173">
        <v>20414.77563211487</v>
      </c>
      <c r="J454" s="168">
        <f>IFERROR(MIN('MP Calculations'!$E$30/I454,1),"-")</f>
        <v>0.40513348981719682</v>
      </c>
      <c r="K454" s="12"/>
      <c r="L454" s="159">
        <v>0.49997200000000003</v>
      </c>
      <c r="M454" s="159" t="s">
        <v>294</v>
      </c>
      <c r="N454" s="159">
        <v>350</v>
      </c>
      <c r="O454" s="185">
        <f t="shared" si="23"/>
        <v>174.99020000000002</v>
      </c>
      <c r="P454" s="215">
        <f t="shared" si="21"/>
        <v>70.894390409809247</v>
      </c>
      <c r="Q454" s="215" cm="1">
        <f t="array" ref="Q454">IF(P454="-",0,P454/(1+'General inputs'!$H$32)^IFERROR(INDEX('MP Calculations'!$C$40:$C$130,MATCH(F454,'MP Calculations'!$D$40:$D$130,0),0),-1))</f>
        <v>102.66474746825482</v>
      </c>
    </row>
    <row r="455" spans="3:17">
      <c r="C455" s="159"/>
      <c r="D455" s="165" t="s">
        <v>281</v>
      </c>
      <c r="E455" s="161">
        <v>41842</v>
      </c>
      <c r="F455" s="172" t="str">
        <f t="shared" si="20"/>
        <v>2014-15</v>
      </c>
      <c r="G455" s="68"/>
      <c r="H455" s="167" t="s">
        <v>293</v>
      </c>
      <c r="I455" s="173">
        <v>20414.77563211487</v>
      </c>
      <c r="J455" s="168">
        <f>IFERROR(MIN('MP Calculations'!$E$30/I455,1),"-")</f>
        <v>0.40513348981719682</v>
      </c>
      <c r="K455" s="12"/>
      <c r="L455" s="159">
        <v>11.687219000000001</v>
      </c>
      <c r="M455" s="159" t="s">
        <v>294</v>
      </c>
      <c r="N455" s="159">
        <v>350</v>
      </c>
      <c r="O455" s="185">
        <f t="shared" si="23"/>
        <v>4090.5266500000002</v>
      </c>
      <c r="P455" s="215">
        <f t="shared" si="21"/>
        <v>1657.2093369047473</v>
      </c>
      <c r="Q455" s="215" cm="1">
        <f t="array" ref="Q455">IF(P455="-",0,P455/(1+'General inputs'!$H$32)^IFERROR(INDEX('MP Calculations'!$C$40:$C$130,MATCH(F455,'MP Calculations'!$D$40:$D$130,0),0),-1))</f>
        <v>2303.1335575160529</v>
      </c>
    </row>
    <row r="456" spans="3:17">
      <c r="C456" s="159"/>
      <c r="D456" s="165" t="s">
        <v>281</v>
      </c>
      <c r="E456" s="161">
        <v>41842</v>
      </c>
      <c r="F456" s="172" t="str">
        <f t="shared" si="20"/>
        <v>2014-15</v>
      </c>
      <c r="G456" s="68"/>
      <c r="H456" s="167" t="s">
        <v>293</v>
      </c>
      <c r="I456" s="173">
        <v>20414.77563211487</v>
      </c>
      <c r="J456" s="168">
        <f>IFERROR(MIN('MP Calculations'!$E$30/I456,1),"-")</f>
        <v>0.40513348981719682</v>
      </c>
      <c r="K456" s="12"/>
      <c r="L456" s="159">
        <v>208.263125</v>
      </c>
      <c r="M456" s="159" t="s">
        <v>294</v>
      </c>
      <c r="N456" s="159">
        <v>350</v>
      </c>
      <c r="O456" s="185">
        <f t="shared" si="23"/>
        <v>72892.09375</v>
      </c>
      <c r="P456" s="215">
        <f t="shared" si="21"/>
        <v>29531.028321019781</v>
      </c>
      <c r="Q456" s="215" cm="1">
        <f t="array" ref="Q456">IF(P456="-",0,P456/(1+'General inputs'!$H$32)^IFERROR(INDEX('MP Calculations'!$C$40:$C$130,MATCH(F456,'MP Calculations'!$D$40:$D$130,0),0),-1))</f>
        <v>41041.22563123532</v>
      </c>
    </row>
    <row r="457" spans="3:17">
      <c r="C457" s="159"/>
      <c r="D457" s="165" t="s">
        <v>347</v>
      </c>
      <c r="E457" s="161">
        <v>41845</v>
      </c>
      <c r="F457" s="172" t="str">
        <f t="shared" si="20"/>
        <v>2014-15</v>
      </c>
      <c r="G457" s="68"/>
      <c r="H457" s="167" t="s">
        <v>293</v>
      </c>
      <c r="I457" s="173">
        <v>20414.77563211487</v>
      </c>
      <c r="J457" s="168">
        <f>IFERROR(MIN('MP Calculations'!$E$30/I457,1),"-")</f>
        <v>0.40513348981719682</v>
      </c>
      <c r="K457" s="12"/>
      <c r="L457" s="159">
        <v>1</v>
      </c>
      <c r="M457" s="159" t="s">
        <v>295</v>
      </c>
      <c r="N457" s="159">
        <v>4883.7700000000004</v>
      </c>
      <c r="O457" s="185">
        <f t="shared" si="23"/>
        <v>4883.7700000000004</v>
      </c>
      <c r="P457" s="215">
        <f t="shared" si="21"/>
        <v>1978.5787835645315</v>
      </c>
      <c r="Q457" s="215" cm="1">
        <f t="array" ref="Q457">IF(P457="-",0,P457/(1+'General inputs'!$H$32)^IFERROR(INDEX('MP Calculations'!$C$40:$C$130,MATCH(F457,'MP Calculations'!$D$40:$D$130,0),0),-1))</f>
        <v>2749.7619589375304</v>
      </c>
    </row>
    <row r="458" spans="3:17">
      <c r="C458" s="159"/>
      <c r="D458" s="165" t="s">
        <v>348</v>
      </c>
      <c r="E458" s="161">
        <v>41858</v>
      </c>
      <c r="F458" s="172" t="str">
        <f t="shared" si="20"/>
        <v>2014-15</v>
      </c>
      <c r="G458" s="68"/>
      <c r="H458" s="167" t="s">
        <v>293</v>
      </c>
      <c r="I458" s="173">
        <v>20414.77563211487</v>
      </c>
      <c r="J458" s="168">
        <f>IFERROR(MIN('MP Calculations'!$E$30/I458,1),"-")</f>
        <v>0.40513348981719682</v>
      </c>
      <c r="K458" s="12"/>
      <c r="L458" s="159">
        <v>1</v>
      </c>
      <c r="M458" s="159" t="s">
        <v>295</v>
      </c>
      <c r="N458" s="159">
        <v>9290.51</v>
      </c>
      <c r="O458" s="185">
        <f t="shared" si="23"/>
        <v>9290.51</v>
      </c>
      <c r="P458" s="215">
        <f t="shared" si="21"/>
        <v>3763.8967384815655</v>
      </c>
      <c r="Q458" s="215" cm="1">
        <f t="array" ref="Q458">IF(P458="-",0,P458/(1+'General inputs'!$H$32)^IFERROR(INDEX('MP Calculations'!$C$40:$C$130,MATCH(F458,'MP Calculations'!$D$40:$D$130,0),0),-1))</f>
        <v>5230.9365463829618</v>
      </c>
    </row>
    <row r="459" spans="3:17">
      <c r="C459" s="159"/>
      <c r="D459" s="165" t="s">
        <v>352</v>
      </c>
      <c r="E459" s="161">
        <v>41908</v>
      </c>
      <c r="F459" s="172" t="str">
        <f t="shared" si="20"/>
        <v>2014-15</v>
      </c>
      <c r="G459" s="68"/>
      <c r="H459" s="167" t="s">
        <v>293</v>
      </c>
      <c r="I459" s="173">
        <v>20414.77563211487</v>
      </c>
      <c r="J459" s="168">
        <f>IFERROR(MIN('MP Calculations'!$E$30/I459,1),"-")</f>
        <v>0.40513348981719682</v>
      </c>
      <c r="K459" s="12"/>
      <c r="L459" s="159">
        <v>1</v>
      </c>
      <c r="M459" s="159" t="s">
        <v>295</v>
      </c>
      <c r="N459" s="159">
        <v>264433.09000000003</v>
      </c>
      <c r="O459" s="185">
        <f t="shared" si="23"/>
        <v>264433.09000000003</v>
      </c>
      <c r="P459" s="215">
        <f t="shared" si="21"/>
        <v>107130.7005748449</v>
      </c>
      <c r="Q459" s="215" cm="1">
        <f t="array" ref="Q459">IF(P459="-",0,P459/(1+'General inputs'!$H$32)^IFERROR(INDEX('MP Calculations'!$C$40:$C$130,MATCH(F459,'MP Calculations'!$D$40:$D$130,0),0),-1))</f>
        <v>148886.62888840062</v>
      </c>
    </row>
    <row r="460" spans="3:17">
      <c r="C460" s="159"/>
      <c r="D460" s="165" t="s">
        <v>364</v>
      </c>
      <c r="E460" s="161">
        <v>41908</v>
      </c>
      <c r="F460" s="172" t="str">
        <f t="shared" si="20"/>
        <v>2014-15</v>
      </c>
      <c r="G460" s="68"/>
      <c r="H460" s="167" t="s">
        <v>293</v>
      </c>
      <c r="I460" s="173">
        <v>20414.77563211487</v>
      </c>
      <c r="J460" s="168">
        <f>IFERROR(MIN('MP Calculations'!$E$30/I460,1),"-")</f>
        <v>0.40513348981719682</v>
      </c>
      <c r="K460" s="12"/>
      <c r="L460" s="159">
        <v>1</v>
      </c>
      <c r="M460" s="159" t="s">
        <v>295</v>
      </c>
      <c r="N460" s="159">
        <v>852592.8</v>
      </c>
      <c r="O460" s="185">
        <f t="shared" si="23"/>
        <v>852592.8</v>
      </c>
      <c r="P460" s="215">
        <f t="shared" si="21"/>
        <v>345413.89645701536</v>
      </c>
      <c r="Q460" s="215" cm="1">
        <f t="array" ref="Q460">IF(P460="-",0,P460/(1+'General inputs'!$H$32)^IFERROR(INDEX('MP Calculations'!$C$40:$C$130,MATCH(F460,'MP Calculations'!$D$40:$D$130,0),0),-1))</f>
        <v>480044.5655516198</v>
      </c>
    </row>
    <row r="461" spans="3:17">
      <c r="C461" s="159"/>
      <c r="D461" s="165" t="s">
        <v>369</v>
      </c>
      <c r="E461" s="161">
        <v>41908</v>
      </c>
      <c r="F461" s="172" t="str">
        <f t="shared" si="20"/>
        <v>2014-15</v>
      </c>
      <c r="G461" s="68"/>
      <c r="H461" s="167" t="s">
        <v>293</v>
      </c>
      <c r="I461" s="173">
        <v>20414.77563211487</v>
      </c>
      <c r="J461" s="168">
        <f>IFERROR(MIN('MP Calculations'!$E$30/I461,1),"-")</f>
        <v>0.40513348981719682</v>
      </c>
      <c r="K461" s="12"/>
      <c r="L461" s="159">
        <v>1</v>
      </c>
      <c r="M461" s="159" t="s">
        <v>295</v>
      </c>
      <c r="N461" s="159">
        <v>48437.36</v>
      </c>
      <c r="O461" s="185">
        <f t="shared" si="23"/>
        <v>48437.36</v>
      </c>
      <c r="P461" s="215">
        <f t="shared" si="21"/>
        <v>19623.596694331896</v>
      </c>
      <c r="Q461" s="215" cm="1">
        <f t="array" ref="Q461">IF(P461="-",0,P461/(1+'General inputs'!$H$32)^IFERROR(INDEX('MP Calculations'!$C$40:$C$130,MATCH(F461,'MP Calculations'!$D$40:$D$130,0),0),-1))</f>
        <v>27272.21181983639</v>
      </c>
    </row>
    <row r="462" spans="3:17">
      <c r="C462" s="159"/>
      <c r="D462" s="165" t="s">
        <v>356</v>
      </c>
      <c r="E462" s="161">
        <v>41908</v>
      </c>
      <c r="F462" s="172" t="str">
        <f t="shared" si="20"/>
        <v>2014-15</v>
      </c>
      <c r="G462" s="68"/>
      <c r="H462" s="167" t="s">
        <v>293</v>
      </c>
      <c r="I462" s="173">
        <v>20414.77563211487</v>
      </c>
      <c r="J462" s="168">
        <f>IFERROR(MIN('MP Calculations'!$E$30/I462,1),"-")</f>
        <v>0.40513348981719682</v>
      </c>
      <c r="K462" s="12"/>
      <c r="L462" s="159">
        <v>1</v>
      </c>
      <c r="M462" s="159" t="s">
        <v>295</v>
      </c>
      <c r="N462" s="159">
        <v>169400.41</v>
      </c>
      <c r="O462" s="185">
        <f t="shared" si="23"/>
        <v>169400.41</v>
      </c>
      <c r="P462" s="215">
        <f t="shared" si="21"/>
        <v>68629.77927976397</v>
      </c>
      <c r="Q462" s="215" cm="1">
        <f t="array" ref="Q462">IF(P462="-",0,P462/(1+'General inputs'!$H$32)^IFERROR(INDEX('MP Calculations'!$C$40:$C$130,MATCH(F462,'MP Calculations'!$D$40:$D$130,0),0),-1))</f>
        <v>95379.348996046261</v>
      </c>
    </row>
    <row r="463" spans="3:17">
      <c r="C463" s="159"/>
      <c r="D463" s="165" t="s">
        <v>367</v>
      </c>
      <c r="E463" s="161">
        <v>41908</v>
      </c>
      <c r="F463" s="172" t="str">
        <f t="shared" si="20"/>
        <v>2014-15</v>
      </c>
      <c r="G463" s="68"/>
      <c r="H463" s="167" t="s">
        <v>293</v>
      </c>
      <c r="I463" s="173">
        <v>20414.77563211487</v>
      </c>
      <c r="J463" s="168">
        <f>IFERROR(MIN('MP Calculations'!$E$30/I463,1),"-")</f>
        <v>0.40513348981719682</v>
      </c>
      <c r="K463" s="12"/>
      <c r="L463" s="159">
        <v>1</v>
      </c>
      <c r="M463" s="159" t="s">
        <v>295</v>
      </c>
      <c r="N463" s="159">
        <v>39257.1</v>
      </c>
      <c r="O463" s="185">
        <f t="shared" si="23"/>
        <v>39257.1</v>
      </c>
      <c r="P463" s="215">
        <f t="shared" si="21"/>
        <v>15904.365923102678</v>
      </c>
      <c r="Q463" s="215" cm="1">
        <f t="array" ref="Q463">IF(P463="-",0,P463/(1+'General inputs'!$H$32)^IFERROR(INDEX('MP Calculations'!$C$40:$C$130,MATCH(F463,'MP Calculations'!$D$40:$D$130,0),0),-1))</f>
        <v>22103.350525967955</v>
      </c>
    </row>
    <row r="464" spans="3:17">
      <c r="C464" s="159"/>
      <c r="D464" s="165" t="s">
        <v>370</v>
      </c>
      <c r="E464" s="161">
        <v>41908</v>
      </c>
      <c r="F464" s="172" t="str">
        <f t="shared" si="20"/>
        <v>2014-15</v>
      </c>
      <c r="G464" s="68"/>
      <c r="H464" s="167" t="s">
        <v>293</v>
      </c>
      <c r="I464" s="173">
        <v>20414.77563211487</v>
      </c>
      <c r="J464" s="168">
        <f>IFERROR(MIN('MP Calculations'!$E$30/I464,1),"-")</f>
        <v>0.40513348981719682</v>
      </c>
      <c r="K464" s="12"/>
      <c r="L464" s="159">
        <v>1</v>
      </c>
      <c r="M464" s="159" t="s">
        <v>295</v>
      </c>
      <c r="N464" s="159">
        <v>291460.89</v>
      </c>
      <c r="O464" s="185">
        <f t="shared" si="23"/>
        <v>291460.89</v>
      </c>
      <c r="P464" s="215">
        <f t="shared" si="21"/>
        <v>118080.56751092614</v>
      </c>
      <c r="Q464" s="215" cm="1">
        <f t="array" ref="Q464">IF(P464="-",0,P464/(1+'General inputs'!$H$32)^IFERROR(INDEX('MP Calculations'!$C$40:$C$130,MATCH(F464,'MP Calculations'!$D$40:$D$130,0),0),-1))</f>
        <v>164104.38408034696</v>
      </c>
    </row>
    <row r="465" spans="3:17">
      <c r="C465" s="159"/>
      <c r="D465" s="165" t="s">
        <v>371</v>
      </c>
      <c r="E465" s="161">
        <v>41908</v>
      </c>
      <c r="F465" s="172" t="str">
        <f t="shared" si="20"/>
        <v>2014-15</v>
      </c>
      <c r="G465" s="68"/>
      <c r="H465" s="167" t="s">
        <v>293</v>
      </c>
      <c r="I465" s="173">
        <v>20414.77563211487</v>
      </c>
      <c r="J465" s="168">
        <f>IFERROR(MIN('MP Calculations'!$E$30/I465,1),"-")</f>
        <v>0.40513348981719682</v>
      </c>
      <c r="K465" s="12"/>
      <c r="L465" s="159">
        <v>1</v>
      </c>
      <c r="M465" s="159" t="s">
        <v>295</v>
      </c>
      <c r="N465" s="159">
        <v>269748.09000000003</v>
      </c>
      <c r="O465" s="185">
        <f t="shared" si="23"/>
        <v>269748.09000000003</v>
      </c>
      <c r="P465" s="215">
        <f t="shared" si="21"/>
        <v>109283.9850732233</v>
      </c>
      <c r="Q465" s="215" cm="1">
        <f t="array" ref="Q465">IF(P465="-",0,P465/(1+'General inputs'!$H$32)^IFERROR(INDEX('MP Calculations'!$C$40:$C$130,MATCH(F465,'MP Calculations'!$D$40:$D$130,0),0),-1))</f>
        <v>151879.19094839791</v>
      </c>
    </row>
    <row r="466" spans="3:17">
      <c r="C466" s="159"/>
      <c r="D466" s="165" t="s">
        <v>372</v>
      </c>
      <c r="E466" s="161">
        <v>41908</v>
      </c>
      <c r="F466" s="172" t="str">
        <f t="shared" si="20"/>
        <v>2014-15</v>
      </c>
      <c r="G466" s="68"/>
      <c r="H466" s="167" t="s">
        <v>293</v>
      </c>
      <c r="I466" s="173">
        <v>20414.77563211487</v>
      </c>
      <c r="J466" s="168">
        <f>IFERROR(MIN('MP Calculations'!$E$30/I466,1),"-")</f>
        <v>0.40513348981719682</v>
      </c>
      <c r="K466" s="12"/>
      <c r="L466" s="159">
        <v>1</v>
      </c>
      <c r="M466" s="159" t="s">
        <v>295</v>
      </c>
      <c r="N466" s="159">
        <v>221709.27</v>
      </c>
      <c r="O466" s="185">
        <f t="shared" si="23"/>
        <v>221709.27</v>
      </c>
      <c r="P466" s="215">
        <f t="shared" si="21"/>
        <v>89821.850279923136</v>
      </c>
      <c r="Q466" s="215" cm="1">
        <f t="array" ref="Q466">IF(P466="-",0,P466/(1+'General inputs'!$H$32)^IFERROR(INDEX('MP Calculations'!$C$40:$C$130,MATCH(F466,'MP Calculations'!$D$40:$D$130,0),0),-1))</f>
        <v>124831.37342458997</v>
      </c>
    </row>
    <row r="467" spans="3:17">
      <c r="C467" s="159"/>
      <c r="D467" s="165" t="s">
        <v>353</v>
      </c>
      <c r="E467" s="161">
        <v>41908</v>
      </c>
      <c r="F467" s="172" t="str">
        <f t="shared" si="20"/>
        <v>2014-15</v>
      </c>
      <c r="G467" s="68"/>
      <c r="H467" s="167" t="s">
        <v>293</v>
      </c>
      <c r="I467" s="173">
        <v>20414.77563211487</v>
      </c>
      <c r="J467" s="168">
        <f>IFERROR(MIN('MP Calculations'!$E$30/I467,1),"-")</f>
        <v>0.40513348981719682</v>
      </c>
      <c r="K467" s="12"/>
      <c r="L467" s="159">
        <v>1</v>
      </c>
      <c r="M467" s="159" t="s">
        <v>295</v>
      </c>
      <c r="N467" s="159">
        <v>71056.039999999994</v>
      </c>
      <c r="O467" s="185">
        <f t="shared" si="23"/>
        <v>71056.039999999994</v>
      </c>
      <c r="P467" s="215">
        <f t="shared" si="21"/>
        <v>28787.181457790328</v>
      </c>
      <c r="Q467" s="215" cm="1">
        <f t="array" ref="Q467">IF(P467="-",0,P467/(1+'General inputs'!$H$32)^IFERROR(INDEX('MP Calculations'!$C$40:$C$130,MATCH(F467,'MP Calculations'!$D$40:$D$130,0),0),-1))</f>
        <v>40007.452387140162</v>
      </c>
    </row>
    <row r="468" spans="3:17">
      <c r="C468" s="159"/>
      <c r="D468" s="165" t="s">
        <v>357</v>
      </c>
      <c r="E468" s="161">
        <v>41908</v>
      </c>
      <c r="F468" s="172" t="str">
        <f t="shared" si="20"/>
        <v>2014-15</v>
      </c>
      <c r="G468" s="68"/>
      <c r="H468" s="167" t="s">
        <v>293</v>
      </c>
      <c r="I468" s="173">
        <v>20414.77563211487</v>
      </c>
      <c r="J468" s="168">
        <f>IFERROR(MIN('MP Calculations'!$E$30/I468,1),"-")</f>
        <v>0.40513348981719682</v>
      </c>
      <c r="K468" s="12"/>
      <c r="L468" s="159">
        <v>1</v>
      </c>
      <c r="M468" s="159" t="s">
        <v>295</v>
      </c>
      <c r="N468" s="159">
        <v>69321.27</v>
      </c>
      <c r="O468" s="185">
        <f t="shared" si="23"/>
        <v>69321.27</v>
      </c>
      <c r="P468" s="215">
        <f t="shared" si="21"/>
        <v>28084.368033660154</v>
      </c>
      <c r="Q468" s="215" cm="1">
        <f t="array" ref="Q468">IF(P468="-",0,P468/(1+'General inputs'!$H$32)^IFERROR(INDEX('MP Calculations'!$C$40:$C$130,MATCH(F468,'MP Calculations'!$D$40:$D$130,0),0),-1))</f>
        <v>39030.706030635651</v>
      </c>
    </row>
    <row r="469" spans="3:17">
      <c r="C469" s="159"/>
      <c r="D469" s="165" t="s">
        <v>368</v>
      </c>
      <c r="E469" s="161">
        <v>41908</v>
      </c>
      <c r="F469" s="172" t="str">
        <f t="shared" si="20"/>
        <v>2014-15</v>
      </c>
      <c r="G469" s="68"/>
      <c r="H469" s="167" t="s">
        <v>293</v>
      </c>
      <c r="I469" s="173">
        <v>20414.77563211487</v>
      </c>
      <c r="J469" s="168">
        <f>IFERROR(MIN('MP Calculations'!$E$30/I469,1),"-")</f>
        <v>0.40513348981719682</v>
      </c>
      <c r="K469" s="12"/>
      <c r="L469" s="159">
        <v>1</v>
      </c>
      <c r="M469" s="159" t="s">
        <v>295</v>
      </c>
      <c r="N469" s="159">
        <v>462966.53</v>
      </c>
      <c r="O469" s="185">
        <f t="shared" si="23"/>
        <v>462966.53</v>
      </c>
      <c r="P469" s="215">
        <f t="shared" si="21"/>
        <v>187563.24596745797</v>
      </c>
      <c r="Q469" s="215" cm="1">
        <f t="array" ref="Q469">IF(P469="-",0,P469/(1+'General inputs'!$H$32)^IFERROR(INDEX('MP Calculations'!$C$40:$C$130,MATCH(F469,'MP Calculations'!$D$40:$D$130,0),0),-1))</f>
        <v>260669.06354216335</v>
      </c>
    </row>
    <row r="470" spans="3:17">
      <c r="C470" s="159"/>
      <c r="D470" s="165" t="s">
        <v>350</v>
      </c>
      <c r="E470" s="161">
        <v>41908</v>
      </c>
      <c r="F470" s="172" t="str">
        <f t="shared" ref="F470:F533" si="24">IF(E470="","-",IF(OR(E470&lt;$E$15,E470&gt;$E$16),"ERROR - date outside of range",IF(MONTH(E470)&gt;=7,YEAR(E470)&amp;"-"&amp;IF(YEAR(E470)=1999,"00",IF(AND(YEAR(E470)&gt;=2000,YEAR(E470)&lt;2009),"0","")&amp;RIGHT(YEAR(E470),2)+1),RIGHT(YEAR(E470),4)-1&amp;"-"&amp;RIGHT(YEAR(E470),2))))</f>
        <v>2014-15</v>
      </c>
      <c r="G470" s="68"/>
      <c r="H470" s="167" t="s">
        <v>293</v>
      </c>
      <c r="I470" s="173">
        <v>20414.77563211487</v>
      </c>
      <c r="J470" s="168">
        <f>IFERROR(MIN('MP Calculations'!$E$30/I470,1),"-")</f>
        <v>0.40513348981719682</v>
      </c>
      <c r="K470" s="12"/>
      <c r="L470" s="159">
        <v>1</v>
      </c>
      <c r="M470" s="159" t="s">
        <v>295</v>
      </c>
      <c r="N470" s="159">
        <v>618777.77</v>
      </c>
      <c r="O470" s="185">
        <f t="shared" si="23"/>
        <v>618777.77</v>
      </c>
      <c r="P470" s="215">
        <f t="shared" si="21"/>
        <v>250687.59738140277</v>
      </c>
      <c r="Q470" s="215" cm="1">
        <f t="array" ref="Q470">IF(P470="-",0,P470/(1+'General inputs'!$H$32)^IFERROR(INDEX('MP Calculations'!$C$40:$C$130,MATCH(F470,'MP Calculations'!$D$40:$D$130,0),0),-1))</f>
        <v>348397.15485827479</v>
      </c>
    </row>
    <row r="471" spans="3:17">
      <c r="C471" s="159"/>
      <c r="D471" s="165" t="s">
        <v>349</v>
      </c>
      <c r="E471" s="161">
        <v>41908</v>
      </c>
      <c r="F471" s="172" t="str">
        <f t="shared" si="24"/>
        <v>2014-15</v>
      </c>
      <c r="G471" s="68"/>
      <c r="H471" s="167" t="s">
        <v>293</v>
      </c>
      <c r="I471" s="173">
        <v>20414.77563211487</v>
      </c>
      <c r="J471" s="168">
        <f>IFERROR(MIN('MP Calculations'!$E$30/I471,1),"-")</f>
        <v>0.40513348981719682</v>
      </c>
      <c r="K471" s="12"/>
      <c r="L471" s="159">
        <v>1</v>
      </c>
      <c r="M471" s="159" t="s">
        <v>295</v>
      </c>
      <c r="N471" s="159">
        <v>717944.89</v>
      </c>
      <c r="O471" s="185">
        <f t="shared" si="23"/>
        <v>717944.89</v>
      </c>
      <c r="P471" s="215">
        <f t="shared" ref="P471:P534" si="25">IF(O471="-","-",IF(OR(E471&lt;$E$15,E471&gt;$E$16),0,O471*J471))</f>
        <v>290863.51878212352</v>
      </c>
      <c r="Q471" s="215" cm="1">
        <f t="array" ref="Q471">IF(P471="-",0,P471/(1+'General inputs'!$H$32)^IFERROR(INDEX('MP Calculations'!$C$40:$C$130,MATCH(F471,'MP Calculations'!$D$40:$D$130,0),0),-1))</f>
        <v>404232.29331757838</v>
      </c>
    </row>
    <row r="472" spans="3:17">
      <c r="C472" s="159"/>
      <c r="D472" s="165" t="s">
        <v>351</v>
      </c>
      <c r="E472" s="161">
        <v>41908</v>
      </c>
      <c r="F472" s="172" t="str">
        <f t="shared" si="24"/>
        <v>2014-15</v>
      </c>
      <c r="G472" s="68"/>
      <c r="H472" s="167" t="s">
        <v>293</v>
      </c>
      <c r="I472" s="173">
        <v>20414.77563211487</v>
      </c>
      <c r="J472" s="168">
        <f>IFERROR(MIN('MP Calculations'!$E$30/I472,1),"-")</f>
        <v>0.40513348981719682</v>
      </c>
      <c r="K472" s="12"/>
      <c r="L472" s="159">
        <v>1</v>
      </c>
      <c r="M472" s="159" t="s">
        <v>295</v>
      </c>
      <c r="N472" s="159">
        <v>29674.01</v>
      </c>
      <c r="O472" s="185">
        <f t="shared" si="23"/>
        <v>29674.01</v>
      </c>
      <c r="P472" s="215">
        <f t="shared" si="25"/>
        <v>12021.935228170396</v>
      </c>
      <c r="Q472" s="215" cm="1">
        <f t="array" ref="Q472">IF(P472="-",0,P472/(1+'General inputs'!$H$32)^IFERROR(INDEX('MP Calculations'!$C$40:$C$130,MATCH(F472,'MP Calculations'!$D$40:$D$130,0),0),-1))</f>
        <v>16707.679490871164</v>
      </c>
    </row>
    <row r="473" spans="3:17">
      <c r="C473" s="159"/>
      <c r="D473" s="165" t="s">
        <v>366</v>
      </c>
      <c r="E473" s="161">
        <v>41908</v>
      </c>
      <c r="F473" s="172" t="str">
        <f t="shared" si="24"/>
        <v>2014-15</v>
      </c>
      <c r="G473" s="68"/>
      <c r="H473" s="167" t="s">
        <v>293</v>
      </c>
      <c r="I473" s="173">
        <v>20414.77563211487</v>
      </c>
      <c r="J473" s="168">
        <f>IFERROR(MIN('MP Calculations'!$E$30/I473,1),"-")</f>
        <v>0.40513348981719682</v>
      </c>
      <c r="K473" s="12"/>
      <c r="L473" s="159">
        <v>1</v>
      </c>
      <c r="M473" s="159" t="s">
        <v>295</v>
      </c>
      <c r="N473" s="159">
        <v>99098.52</v>
      </c>
      <c r="O473" s="185">
        <f t="shared" ref="O473:O500" si="26">IF(N473="","-",L473*N473)</f>
        <v>99098.52</v>
      </c>
      <c r="P473" s="215">
        <f t="shared" si="25"/>
        <v>40148.129243319279</v>
      </c>
      <c r="Q473" s="215" cm="1">
        <f t="array" ref="Q473">IF(P473="-",0,P473/(1+'General inputs'!$H$32)^IFERROR(INDEX('MP Calculations'!$C$40:$C$130,MATCH(F473,'MP Calculations'!$D$40:$D$130,0),0),-1))</f>
        <v>55796.51385773901</v>
      </c>
    </row>
    <row r="474" spans="3:17">
      <c r="C474" s="159"/>
      <c r="D474" s="165" t="s">
        <v>354</v>
      </c>
      <c r="E474" s="161">
        <v>41908</v>
      </c>
      <c r="F474" s="172" t="str">
        <f t="shared" si="24"/>
        <v>2014-15</v>
      </c>
      <c r="G474" s="68"/>
      <c r="H474" s="167" t="s">
        <v>293</v>
      </c>
      <c r="I474" s="173">
        <v>20414.77563211487</v>
      </c>
      <c r="J474" s="168">
        <f>IFERROR(MIN('MP Calculations'!$E$30/I474,1),"-")</f>
        <v>0.40513348981719682</v>
      </c>
      <c r="K474" s="12"/>
      <c r="L474" s="159">
        <v>1</v>
      </c>
      <c r="M474" s="159" t="s">
        <v>295</v>
      </c>
      <c r="N474" s="159">
        <v>32858.71</v>
      </c>
      <c r="O474" s="185">
        <f t="shared" si="26"/>
        <v>32858.71</v>
      </c>
      <c r="P474" s="215">
        <f t="shared" si="25"/>
        <v>13312.163853191223</v>
      </c>
      <c r="Q474" s="215" cm="1">
        <f t="array" ref="Q474">IF(P474="-",0,P474/(1+'General inputs'!$H$32)^IFERROR(INDEX('MP Calculations'!$C$40:$C$130,MATCH(F474,'MP Calculations'!$D$40:$D$130,0),0),-1))</f>
        <v>18500.795651261262</v>
      </c>
    </row>
    <row r="475" spans="3:17">
      <c r="C475" s="159"/>
      <c r="D475" s="165" t="s">
        <v>373</v>
      </c>
      <c r="E475" s="161">
        <v>41908</v>
      </c>
      <c r="F475" s="172" t="str">
        <f t="shared" si="24"/>
        <v>2014-15</v>
      </c>
      <c r="G475" s="68"/>
      <c r="H475" s="167" t="s">
        <v>293</v>
      </c>
      <c r="I475" s="173">
        <v>20414.77563211487</v>
      </c>
      <c r="J475" s="168">
        <f>IFERROR(MIN('MP Calculations'!$E$30/I475,1),"-")</f>
        <v>0.40513348981719682</v>
      </c>
      <c r="K475" s="12"/>
      <c r="L475" s="159">
        <v>1</v>
      </c>
      <c r="M475" s="159" t="s">
        <v>295</v>
      </c>
      <c r="N475" s="159">
        <v>21721.95</v>
      </c>
      <c r="O475" s="185">
        <f t="shared" si="26"/>
        <v>21721.95</v>
      </c>
      <c r="P475" s="215">
        <f t="shared" si="25"/>
        <v>8800.2894091346589</v>
      </c>
      <c r="Q475" s="215" cm="1">
        <f t="array" ref="Q475">IF(P475="-",0,P475/(1+'General inputs'!$H$32)^IFERROR(INDEX('MP Calculations'!$C$40:$C$130,MATCH(F475,'MP Calculations'!$D$40:$D$130,0),0),-1))</f>
        <v>12230.344955627126</v>
      </c>
    </row>
    <row r="476" spans="3:17">
      <c r="C476" s="159"/>
      <c r="D476" s="165" t="s">
        <v>355</v>
      </c>
      <c r="E476" s="161">
        <v>41908</v>
      </c>
      <c r="F476" s="172" t="str">
        <f t="shared" si="24"/>
        <v>2014-15</v>
      </c>
      <c r="G476" s="68"/>
      <c r="H476" s="167" t="s">
        <v>293</v>
      </c>
      <c r="I476" s="173">
        <v>20414.77563211487</v>
      </c>
      <c r="J476" s="168">
        <f>IFERROR(MIN('MP Calculations'!$E$30/I476,1),"-")</f>
        <v>0.40513348981719682</v>
      </c>
      <c r="K476" s="12"/>
      <c r="L476" s="159">
        <v>1</v>
      </c>
      <c r="M476" s="159" t="s">
        <v>295</v>
      </c>
      <c r="N476" s="159">
        <v>68246.259999999995</v>
      </c>
      <c r="O476" s="185">
        <f t="shared" si="26"/>
        <v>68246.259999999995</v>
      </c>
      <c r="P476" s="215">
        <f t="shared" si="25"/>
        <v>27648.845480771764</v>
      </c>
      <c r="Q476" s="215" cm="1">
        <f t="array" ref="Q476">IF(P476="-",0,P476/(1+'General inputs'!$H$32)^IFERROR(INDEX('MP Calculations'!$C$40:$C$130,MATCH(F476,'MP Calculations'!$D$40:$D$130,0),0),-1))</f>
        <v>38425.431498158185</v>
      </c>
    </row>
    <row r="477" spans="3:17">
      <c r="C477" s="159"/>
      <c r="D477" s="165" t="s">
        <v>374</v>
      </c>
      <c r="E477" s="161">
        <v>41908</v>
      </c>
      <c r="F477" s="172" t="str">
        <f t="shared" si="24"/>
        <v>2014-15</v>
      </c>
      <c r="G477" s="68"/>
      <c r="H477" s="167" t="s">
        <v>293</v>
      </c>
      <c r="I477" s="173">
        <v>20414.77563211487</v>
      </c>
      <c r="J477" s="168">
        <f>IFERROR(MIN('MP Calculations'!$E$30/I477,1),"-")</f>
        <v>0.40513348981719682</v>
      </c>
      <c r="K477" s="12"/>
      <c r="L477" s="159">
        <v>1</v>
      </c>
      <c r="M477" s="159" t="s">
        <v>295</v>
      </c>
      <c r="N477" s="159">
        <v>425506.41</v>
      </c>
      <c r="O477" s="185">
        <f t="shared" si="26"/>
        <v>425506.41</v>
      </c>
      <c r="P477" s="215">
        <f t="shared" si="25"/>
        <v>172386.89682288698</v>
      </c>
      <c r="Q477" s="215" cm="1">
        <f t="array" ref="Q477">IF(P477="-",0,P477/(1+'General inputs'!$H$32)^IFERROR(INDEX('MP Calculations'!$C$40:$C$130,MATCH(F477,'MP Calculations'!$D$40:$D$130,0),0),-1))</f>
        <v>239577.48614330241</v>
      </c>
    </row>
    <row r="478" spans="3:17">
      <c r="C478" s="159"/>
      <c r="D478" s="165" t="s">
        <v>365</v>
      </c>
      <c r="E478" s="161">
        <v>41908</v>
      </c>
      <c r="F478" s="172" t="str">
        <f t="shared" si="24"/>
        <v>2014-15</v>
      </c>
      <c r="G478" s="68"/>
      <c r="H478" s="167" t="s">
        <v>293</v>
      </c>
      <c r="I478" s="173">
        <v>20414.77563211487</v>
      </c>
      <c r="J478" s="168">
        <f>IFERROR(MIN('MP Calculations'!$E$30/I478,1),"-")</f>
        <v>0.40513348981719682</v>
      </c>
      <c r="K478" s="12"/>
      <c r="L478" s="159">
        <v>1</v>
      </c>
      <c r="M478" s="159" t="s">
        <v>295</v>
      </c>
      <c r="N478" s="159">
        <v>171240.92</v>
      </c>
      <c r="O478" s="185">
        <f t="shared" si="26"/>
        <v>171240.92</v>
      </c>
      <c r="P478" s="215">
        <f t="shared" si="25"/>
        <v>69375.431519107427</v>
      </c>
      <c r="Q478" s="215" cm="1">
        <f t="array" ref="Q478">IF(P478="-",0,P478/(1+'General inputs'!$H$32)^IFERROR(INDEX('MP Calculations'!$C$40:$C$130,MATCH(F478,'MP Calculations'!$D$40:$D$130,0),0),-1))</f>
        <v>96415.631290880818</v>
      </c>
    </row>
    <row r="479" spans="3:17">
      <c r="C479" s="159"/>
      <c r="D479" s="165" t="s">
        <v>363</v>
      </c>
      <c r="E479" s="161">
        <v>41908</v>
      </c>
      <c r="F479" s="172" t="str">
        <f t="shared" si="24"/>
        <v>2014-15</v>
      </c>
      <c r="G479" s="68"/>
      <c r="H479" s="167" t="s">
        <v>293</v>
      </c>
      <c r="I479" s="173">
        <v>20414.77563211487</v>
      </c>
      <c r="J479" s="168">
        <f>IFERROR(MIN('MP Calculations'!$E$30/I479,1),"-")</f>
        <v>0.40513348981719682</v>
      </c>
      <c r="K479" s="12"/>
      <c r="L479" s="159">
        <v>1</v>
      </c>
      <c r="M479" s="159" t="s">
        <v>295</v>
      </c>
      <c r="N479" s="159">
        <v>29362.94</v>
      </c>
      <c r="O479" s="185">
        <f t="shared" si="26"/>
        <v>29362.94</v>
      </c>
      <c r="P479" s="215">
        <f t="shared" si="25"/>
        <v>11895.91035349296</v>
      </c>
      <c r="Q479" s="215" cm="1">
        <f t="array" ref="Q479">IF(P479="-",0,P479/(1+'General inputs'!$H$32)^IFERROR(INDEX('MP Calculations'!$C$40:$C$130,MATCH(F479,'MP Calculations'!$D$40:$D$130,0),0),-1))</f>
        <v>16532.534377041742</v>
      </c>
    </row>
    <row r="480" spans="3:17">
      <c r="C480" s="159"/>
      <c r="D480" s="165" t="s">
        <v>358</v>
      </c>
      <c r="E480" s="161">
        <v>41908</v>
      </c>
      <c r="F480" s="172" t="str">
        <f t="shared" si="24"/>
        <v>2014-15</v>
      </c>
      <c r="G480" s="68"/>
      <c r="H480" s="167" t="s">
        <v>293</v>
      </c>
      <c r="I480" s="173">
        <v>20414.77563211487</v>
      </c>
      <c r="J480" s="168">
        <f>IFERROR(MIN('MP Calculations'!$E$30/I480,1),"-")</f>
        <v>0.40513348981719682</v>
      </c>
      <c r="K480" s="12"/>
      <c r="L480" s="159">
        <v>1</v>
      </c>
      <c r="M480" s="159" t="s">
        <v>295</v>
      </c>
      <c r="N480" s="159">
        <v>85866.89</v>
      </c>
      <c r="O480" s="185">
        <f t="shared" si="26"/>
        <v>85866.89</v>
      </c>
      <c r="P480" s="215">
        <f t="shared" si="25"/>
        <v>34787.552805449362</v>
      </c>
      <c r="Q480" s="215" cm="1">
        <f t="array" ref="Q480">IF(P480="-",0,P480/(1+'General inputs'!$H$32)^IFERROR(INDEX('MP Calculations'!$C$40:$C$130,MATCH(F480,'MP Calculations'!$D$40:$D$130,0),0),-1))</f>
        <v>48346.565799428194</v>
      </c>
    </row>
    <row r="481" spans="3:17">
      <c r="C481" s="159"/>
      <c r="D481" s="165" t="s">
        <v>361</v>
      </c>
      <c r="E481" s="161">
        <v>41908</v>
      </c>
      <c r="F481" s="172" t="str">
        <f t="shared" si="24"/>
        <v>2014-15</v>
      </c>
      <c r="G481" s="68"/>
      <c r="H481" s="167" t="s">
        <v>293</v>
      </c>
      <c r="I481" s="173">
        <v>20414.77563211487</v>
      </c>
      <c r="J481" s="168">
        <f>IFERROR(MIN('MP Calculations'!$E$30/I481,1),"-")</f>
        <v>0.40513348981719682</v>
      </c>
      <c r="K481" s="12"/>
      <c r="L481" s="159">
        <v>1</v>
      </c>
      <c r="M481" s="159" t="s">
        <v>295</v>
      </c>
      <c r="N481" s="159">
        <v>73325.98</v>
      </c>
      <c r="O481" s="185">
        <f t="shared" si="26"/>
        <v>73325.98</v>
      </c>
      <c r="P481" s="215">
        <f t="shared" si="25"/>
        <v>29706.810171665977</v>
      </c>
      <c r="Q481" s="215" cm="1">
        <f t="array" ref="Q481">IF(P481="-",0,P481/(1+'General inputs'!$H$32)^IFERROR(INDEX('MP Calculations'!$C$40:$C$130,MATCH(F481,'MP Calculations'!$D$40:$D$130,0),0),-1))</f>
        <v>41285.521309524025</v>
      </c>
    </row>
    <row r="482" spans="3:17">
      <c r="C482" s="159"/>
      <c r="D482" s="165" t="s">
        <v>360</v>
      </c>
      <c r="E482" s="161">
        <v>41908</v>
      </c>
      <c r="F482" s="172" t="str">
        <f t="shared" si="24"/>
        <v>2014-15</v>
      </c>
      <c r="G482" s="68"/>
      <c r="H482" s="167" t="s">
        <v>293</v>
      </c>
      <c r="I482" s="173">
        <v>20414.77563211487</v>
      </c>
      <c r="J482" s="168">
        <f>IFERROR(MIN('MP Calculations'!$E$30/I482,1),"-")</f>
        <v>0.40513348981719682</v>
      </c>
      <c r="K482" s="12"/>
      <c r="L482" s="159">
        <v>1</v>
      </c>
      <c r="M482" s="159" t="s">
        <v>295</v>
      </c>
      <c r="N482" s="159">
        <v>9973.4699999999993</v>
      </c>
      <c r="O482" s="185">
        <f t="shared" si="26"/>
        <v>9973.4699999999993</v>
      </c>
      <c r="P482" s="215">
        <f t="shared" si="25"/>
        <v>4040.5867066871178</v>
      </c>
      <c r="Q482" s="215" cm="1">
        <f t="array" ref="Q482">IF(P482="-",0,P482/(1+'General inputs'!$H$32)^IFERROR(INDEX('MP Calculations'!$C$40:$C$130,MATCH(F482,'MP Calculations'!$D$40:$D$130,0),0),-1))</f>
        <v>5615.4709178779285</v>
      </c>
    </row>
    <row r="483" spans="3:17">
      <c r="C483" s="159"/>
      <c r="D483" s="165" t="s">
        <v>359</v>
      </c>
      <c r="E483" s="161">
        <v>41908</v>
      </c>
      <c r="F483" s="172" t="str">
        <f t="shared" si="24"/>
        <v>2014-15</v>
      </c>
      <c r="G483" s="68"/>
      <c r="H483" s="167" t="s">
        <v>293</v>
      </c>
      <c r="I483" s="173">
        <v>20414.77563211487</v>
      </c>
      <c r="J483" s="168">
        <f>IFERROR(MIN('MP Calculations'!$E$30/I483,1),"-")</f>
        <v>0.40513348981719682</v>
      </c>
      <c r="K483" s="12"/>
      <c r="L483" s="159">
        <v>1</v>
      </c>
      <c r="M483" s="159" t="s">
        <v>295</v>
      </c>
      <c r="N483" s="159">
        <v>2905.94</v>
      </c>
      <c r="O483" s="185">
        <f t="shared" si="26"/>
        <v>2905.94</v>
      </c>
      <c r="P483" s="215">
        <f t="shared" si="25"/>
        <v>1177.2936133993849</v>
      </c>
      <c r="Q483" s="215" cm="1">
        <f t="array" ref="Q483">IF(P483="-",0,P483/(1+'General inputs'!$H$32)^IFERROR(INDEX('MP Calculations'!$C$40:$C$130,MATCH(F483,'MP Calculations'!$D$40:$D$130,0),0),-1))</f>
        <v>1636.1628960731005</v>
      </c>
    </row>
    <row r="484" spans="3:17">
      <c r="C484" s="159"/>
      <c r="D484" s="165" t="s">
        <v>362</v>
      </c>
      <c r="E484" s="161">
        <v>41908</v>
      </c>
      <c r="F484" s="172" t="str">
        <f t="shared" si="24"/>
        <v>2014-15</v>
      </c>
      <c r="G484" s="68"/>
      <c r="H484" s="167" t="s">
        <v>293</v>
      </c>
      <c r="I484" s="173">
        <v>20414.77563211487</v>
      </c>
      <c r="J484" s="168">
        <f>IFERROR(MIN('MP Calculations'!$E$30/I484,1),"-")</f>
        <v>0.40513348981719682</v>
      </c>
      <c r="K484" s="12"/>
      <c r="L484" s="159">
        <v>1</v>
      </c>
      <c r="M484" s="159" t="s">
        <v>295</v>
      </c>
      <c r="N484" s="159">
        <v>7861.83</v>
      </c>
      <c r="O484" s="185">
        <f t="shared" si="26"/>
        <v>7861.83</v>
      </c>
      <c r="P484" s="215">
        <f t="shared" si="25"/>
        <v>3185.0906242495325</v>
      </c>
      <c r="Q484" s="215" cm="1">
        <f t="array" ref="Q484">IF(P484="-",0,P484/(1+'General inputs'!$H$32)^IFERROR(INDEX('MP Calculations'!$C$40:$C$130,MATCH(F484,'MP Calculations'!$D$40:$D$130,0),0),-1))</f>
        <v>4426.531360328976</v>
      </c>
    </row>
    <row r="485" spans="3:17">
      <c r="C485" s="159"/>
      <c r="D485" s="165" t="s">
        <v>375</v>
      </c>
      <c r="E485" s="161">
        <v>42060</v>
      </c>
      <c r="F485" s="172" t="str">
        <f t="shared" si="24"/>
        <v>2014-15</v>
      </c>
      <c r="G485" s="68"/>
      <c r="H485" s="167" t="s">
        <v>293</v>
      </c>
      <c r="I485" s="173">
        <v>20414.77563211487</v>
      </c>
      <c r="J485" s="168">
        <f>IFERROR(MIN('MP Calculations'!$E$30/I485,1),"-")</f>
        <v>0.40513348981719682</v>
      </c>
      <c r="K485" s="12"/>
      <c r="L485" s="159">
        <v>1</v>
      </c>
      <c r="M485" s="159" t="s">
        <v>295</v>
      </c>
      <c r="N485" s="159">
        <v>13986.41</v>
      </c>
      <c r="O485" s="185">
        <f t="shared" si="26"/>
        <v>13986.41</v>
      </c>
      <c r="P485" s="215">
        <f t="shared" si="25"/>
        <v>5666.3630933141394</v>
      </c>
      <c r="Q485" s="215" cm="1">
        <f t="array" ref="Q485">IF(P485="-",0,P485/(1+'General inputs'!$H$32)^IFERROR(INDEX('MP Calculations'!$C$40:$C$130,MATCH(F485,'MP Calculations'!$D$40:$D$130,0),0),-1))</f>
        <v>7874.920022872383</v>
      </c>
    </row>
    <row r="486" spans="3:17">
      <c r="C486" s="159"/>
      <c r="D486" s="165" t="s">
        <v>376</v>
      </c>
      <c r="E486" s="161">
        <v>42072</v>
      </c>
      <c r="F486" s="172" t="str">
        <f t="shared" si="24"/>
        <v>2014-15</v>
      </c>
      <c r="G486" s="68"/>
      <c r="H486" s="167" t="s">
        <v>293</v>
      </c>
      <c r="I486" s="173">
        <v>20414.77563211487</v>
      </c>
      <c r="J486" s="168">
        <f>IFERROR(MIN('MP Calculations'!$E$30/I486,1),"-")</f>
        <v>0.40513348981719682</v>
      </c>
      <c r="K486" s="12"/>
      <c r="L486" s="159">
        <v>1</v>
      </c>
      <c r="M486" s="159" t="s">
        <v>295</v>
      </c>
      <c r="N486" s="159">
        <v>1775.37</v>
      </c>
      <c r="O486" s="185">
        <f t="shared" si="26"/>
        <v>1775.37</v>
      </c>
      <c r="P486" s="215">
        <f t="shared" si="25"/>
        <v>719.26184381675671</v>
      </c>
      <c r="Q486" s="215" cm="1">
        <f t="array" ref="Q486">IF(P486="-",0,P486/(1+'General inputs'!$H$32)^IFERROR(INDEX('MP Calculations'!$C$40:$C$130,MATCH(F486,'MP Calculations'!$D$40:$D$130,0),0),-1))</f>
        <v>999.60581457335684</v>
      </c>
    </row>
    <row r="487" spans="3:17">
      <c r="C487" s="159"/>
      <c r="D487" s="165" t="s">
        <v>377</v>
      </c>
      <c r="E487" s="161">
        <v>42092</v>
      </c>
      <c r="F487" s="172" t="str">
        <f t="shared" si="24"/>
        <v>2014-15</v>
      </c>
      <c r="G487" s="68"/>
      <c r="H487" s="167" t="s">
        <v>293</v>
      </c>
      <c r="I487" s="173">
        <v>20414.77563211487</v>
      </c>
      <c r="J487" s="168">
        <f>IFERROR(MIN('MP Calculations'!$E$30/I487,1),"-")</f>
        <v>0.40513348981719682</v>
      </c>
      <c r="K487" s="12"/>
      <c r="L487" s="159">
        <v>1</v>
      </c>
      <c r="M487" s="159" t="s">
        <v>295</v>
      </c>
      <c r="N487" s="159">
        <v>2547.23</v>
      </c>
      <c r="O487" s="185">
        <f t="shared" si="26"/>
        <v>2547.23</v>
      </c>
      <c r="P487" s="215">
        <f t="shared" si="25"/>
        <v>1031.9681792670583</v>
      </c>
      <c r="Q487" s="215" cm="1">
        <f t="array" ref="Q487">IF(P487="-",0,P487/(1+'General inputs'!$H$32)^IFERROR(INDEX('MP Calculations'!$C$40:$C$130,MATCH(F487,'MP Calculations'!$D$40:$D$130,0),0),-1))</f>
        <v>1434.1945166673381</v>
      </c>
    </row>
    <row r="488" spans="3:17">
      <c r="C488" s="159"/>
      <c r="D488" s="165" t="s">
        <v>281</v>
      </c>
      <c r="E488" s="161">
        <v>42094</v>
      </c>
      <c r="F488" s="172" t="str">
        <f t="shared" si="24"/>
        <v>2014-15</v>
      </c>
      <c r="G488" s="68"/>
      <c r="H488" s="167" t="s">
        <v>293</v>
      </c>
      <c r="I488" s="173">
        <v>20414.77563211487</v>
      </c>
      <c r="J488" s="168">
        <f>IFERROR(MIN('MP Calculations'!$E$30/I488,1),"-")</f>
        <v>0.40513348981719682</v>
      </c>
      <c r="K488" s="12"/>
      <c r="L488" s="159">
        <v>24.136852999999999</v>
      </c>
      <c r="M488" s="159" t="s">
        <v>294</v>
      </c>
      <c r="N488" s="159">
        <v>350</v>
      </c>
      <c r="O488" s="185">
        <f t="shared" si="26"/>
        <v>8447.8985499999999</v>
      </c>
      <c r="P488" s="215">
        <f t="shared" si="25"/>
        <v>3422.5266211831367</v>
      </c>
      <c r="Q488" s="215" cm="1">
        <f t="array" ref="Q488">IF(P488="-",0,P488/(1+'General inputs'!$H$32)^IFERROR(INDEX('MP Calculations'!$C$40:$C$130,MATCH(F488,'MP Calculations'!$D$40:$D$130,0),0),-1))</f>
        <v>4756.5118885110314</v>
      </c>
    </row>
    <row r="489" spans="3:17">
      <c r="C489" s="159"/>
      <c r="D489" s="165" t="s">
        <v>281</v>
      </c>
      <c r="E489" s="161">
        <v>42094</v>
      </c>
      <c r="F489" s="172" t="str">
        <f t="shared" si="24"/>
        <v>2014-15</v>
      </c>
      <c r="G489" s="68"/>
      <c r="H489" s="167" t="s">
        <v>293</v>
      </c>
      <c r="I489" s="173">
        <v>20414.77563211487</v>
      </c>
      <c r="J489" s="168">
        <f>IFERROR(MIN('MP Calculations'!$E$30/I489,1),"-")</f>
        <v>0.40513348981719682</v>
      </c>
      <c r="K489" s="12"/>
      <c r="L489" s="159">
        <v>10.10455</v>
      </c>
      <c r="M489" s="159" t="s">
        <v>294</v>
      </c>
      <c r="N489" s="159">
        <v>350</v>
      </c>
      <c r="O489" s="185">
        <f t="shared" si="26"/>
        <v>3536.5924999999997</v>
      </c>
      <c r="P489" s="215">
        <f t="shared" si="25"/>
        <v>1432.7920615863245</v>
      </c>
      <c r="Q489" s="215" cm="1">
        <f t="array" ref="Q489">IF(P489="-",0,P489/(1+'General inputs'!$H$32)^IFERROR(INDEX('MP Calculations'!$C$40:$C$130,MATCH(F489,'MP Calculations'!$D$40:$D$130,0),0),-1))</f>
        <v>1991.2460088750652</v>
      </c>
    </row>
    <row r="490" spans="3:17">
      <c r="C490" s="159"/>
      <c r="D490" s="165" t="s">
        <v>378</v>
      </c>
      <c r="E490" s="161">
        <v>42141</v>
      </c>
      <c r="F490" s="172" t="str">
        <f t="shared" si="24"/>
        <v>2014-15</v>
      </c>
      <c r="G490" s="68"/>
      <c r="H490" s="167" t="s">
        <v>293</v>
      </c>
      <c r="I490" s="173">
        <v>20414.77563211487</v>
      </c>
      <c r="J490" s="168">
        <f>IFERROR(MIN('MP Calculations'!$E$30/I490,1),"-")</f>
        <v>0.40513348981719682</v>
      </c>
      <c r="K490" s="12"/>
      <c r="L490" s="159">
        <v>1</v>
      </c>
      <c r="M490" s="159" t="s">
        <v>295</v>
      </c>
      <c r="N490" s="159">
        <v>15086.22</v>
      </c>
      <c r="O490" s="185">
        <f t="shared" si="26"/>
        <v>15086.22</v>
      </c>
      <c r="P490" s="215">
        <f t="shared" si="25"/>
        <v>6111.9329567499908</v>
      </c>
      <c r="Q490" s="215" cm="1">
        <f t="array" ref="Q490">IF(P490="-",0,P490/(1+'General inputs'!$H$32)^IFERROR(INDEX('MP Calculations'!$C$40:$C$130,MATCH(F490,'MP Calculations'!$D$40:$D$130,0),0),-1))</f>
        <v>8494.1579681603653</v>
      </c>
    </row>
    <row r="491" spans="3:17">
      <c r="C491" s="159"/>
      <c r="D491" s="165" t="s">
        <v>281</v>
      </c>
      <c r="E491" s="161">
        <v>42157</v>
      </c>
      <c r="F491" s="172" t="str">
        <f t="shared" si="24"/>
        <v>2014-15</v>
      </c>
      <c r="G491" s="68"/>
      <c r="H491" s="167" t="s">
        <v>293</v>
      </c>
      <c r="I491" s="173">
        <v>20414.77563211487</v>
      </c>
      <c r="J491" s="168">
        <f>IFERROR(MIN('MP Calculations'!$E$30/I491,1),"-")</f>
        <v>0.40513348981719682</v>
      </c>
      <c r="K491" s="12"/>
      <c r="L491" s="159">
        <v>57.973269000000002</v>
      </c>
      <c r="M491" s="159" t="s">
        <v>294</v>
      </c>
      <c r="N491" s="159">
        <v>350</v>
      </c>
      <c r="O491" s="185">
        <f t="shared" si="26"/>
        <v>20290.64415</v>
      </c>
      <c r="P491" s="215">
        <f t="shared" si="25"/>
        <v>8220.4194751283885</v>
      </c>
      <c r="Q491" s="215" cm="1">
        <f t="array" ref="Q491">IF(P491="-",0,P491/(1+'General inputs'!$H$32)^IFERROR(INDEX('MP Calculations'!$C$40:$C$130,MATCH(F491,'MP Calculations'!$D$40:$D$130,0),0),-1))</f>
        <v>11424.4613087857</v>
      </c>
    </row>
    <row r="492" spans="3:17">
      <c r="C492" s="159"/>
      <c r="D492" s="165" t="s">
        <v>379</v>
      </c>
      <c r="E492" s="161">
        <v>42165</v>
      </c>
      <c r="F492" s="172" t="str">
        <f t="shared" si="24"/>
        <v>2014-15</v>
      </c>
      <c r="G492" s="68"/>
      <c r="H492" s="167" t="s">
        <v>293</v>
      </c>
      <c r="I492" s="173">
        <v>20414.77563211487</v>
      </c>
      <c r="J492" s="168">
        <f>IFERROR(MIN('MP Calculations'!$E$30/I492,1),"-")</f>
        <v>0.40513348981719682</v>
      </c>
      <c r="K492" s="12"/>
      <c r="L492" s="159">
        <v>1</v>
      </c>
      <c r="M492" s="159" t="s">
        <v>295</v>
      </c>
      <c r="N492" s="159">
        <v>24003.54</v>
      </c>
      <c r="O492" s="185">
        <f t="shared" si="26"/>
        <v>24003.54</v>
      </c>
      <c r="P492" s="215">
        <f t="shared" si="25"/>
        <v>9724.6379281666777</v>
      </c>
      <c r="Q492" s="215" cm="1">
        <f t="array" ref="Q492">IF(P492="-",0,P492/(1+'General inputs'!$H$32)^IFERROR(INDEX('MP Calculations'!$C$40:$C$130,MATCH(F492,'MP Calculations'!$D$40:$D$130,0),0),-1))</f>
        <v>13514.973303786905</v>
      </c>
    </row>
    <row r="493" spans="3:17">
      <c r="C493" s="159"/>
      <c r="D493" s="165" t="s">
        <v>380</v>
      </c>
      <c r="E493" s="161">
        <v>42165</v>
      </c>
      <c r="F493" s="172" t="str">
        <f t="shared" si="24"/>
        <v>2014-15</v>
      </c>
      <c r="G493" s="68"/>
      <c r="H493" s="167" t="s">
        <v>293</v>
      </c>
      <c r="I493" s="173">
        <v>20414.77563211487</v>
      </c>
      <c r="J493" s="168">
        <f>IFERROR(MIN('MP Calculations'!$E$30/I493,1),"-")</f>
        <v>0.40513348981719682</v>
      </c>
      <c r="K493" s="12"/>
      <c r="L493" s="159">
        <v>1</v>
      </c>
      <c r="M493" s="159" t="s">
        <v>295</v>
      </c>
      <c r="N493" s="159">
        <v>9699.2199999999993</v>
      </c>
      <c r="O493" s="185">
        <f t="shared" si="26"/>
        <v>9699.2199999999993</v>
      </c>
      <c r="P493" s="215">
        <f t="shared" si="25"/>
        <v>3929.4788471047514</v>
      </c>
      <c r="Q493" s="215" cm="1">
        <f t="array" ref="Q493">IF(P493="-",0,P493/(1+'General inputs'!$H$32)^IFERROR(INDEX('MP Calculations'!$C$40:$C$130,MATCH(F493,'MP Calculations'!$D$40:$D$130,0),0),-1))</f>
        <v>5461.0569677454241</v>
      </c>
    </row>
    <row r="494" spans="3:17">
      <c r="C494" s="159"/>
      <c r="D494" s="165" t="s">
        <v>282</v>
      </c>
      <c r="E494" s="161">
        <v>42170</v>
      </c>
      <c r="F494" s="172" t="str">
        <f t="shared" si="24"/>
        <v>2014-15</v>
      </c>
      <c r="G494" s="68"/>
      <c r="H494" s="167" t="s">
        <v>293</v>
      </c>
      <c r="I494" s="173">
        <v>20414.77563211487</v>
      </c>
      <c r="J494" s="168">
        <f>IFERROR(MIN('MP Calculations'!$E$30/I494,1),"-")</f>
        <v>0.40513348981719682</v>
      </c>
      <c r="K494" s="12"/>
      <c r="L494" s="159">
        <v>5.9999700000000002</v>
      </c>
      <c r="M494" s="159" t="s">
        <v>294</v>
      </c>
      <c r="N494" s="159">
        <v>511</v>
      </c>
      <c r="O494" s="185">
        <f t="shared" si="26"/>
        <v>3065.9846700000003</v>
      </c>
      <c r="P494" s="215">
        <f t="shared" si="25"/>
        <v>1242.1330690831267</v>
      </c>
      <c r="Q494" s="215" cm="1">
        <f t="array" ref="Q494">IF(P494="-",0,P494/(1+'General inputs'!$H$32)^IFERROR(INDEX('MP Calculations'!$C$40:$C$130,MATCH(F494,'MP Calculations'!$D$40:$D$130,0),0),-1))</f>
        <v>1726.2745813688273</v>
      </c>
    </row>
    <row r="495" spans="3:17">
      <c r="C495" s="159"/>
      <c r="D495" s="165" t="s">
        <v>381</v>
      </c>
      <c r="E495" s="161">
        <v>42257</v>
      </c>
      <c r="F495" s="172" t="str">
        <f t="shared" si="24"/>
        <v>2015-16</v>
      </c>
      <c r="G495" s="68"/>
      <c r="H495" s="167" t="s">
        <v>293</v>
      </c>
      <c r="I495" s="173">
        <v>20414.77563211487</v>
      </c>
      <c r="J495" s="168">
        <f>IFERROR(MIN('MP Calculations'!$E$30/I495,1),"-")</f>
        <v>0.40513348981719682</v>
      </c>
      <c r="K495" s="12"/>
      <c r="L495" s="159">
        <v>1</v>
      </c>
      <c r="M495" s="159" t="s">
        <v>295</v>
      </c>
      <c r="N495" s="159">
        <v>4801.0600000000004</v>
      </c>
      <c r="O495" s="185">
        <f t="shared" si="26"/>
        <v>4801.0600000000004</v>
      </c>
      <c r="P495" s="215">
        <f t="shared" si="25"/>
        <v>1945.0701926217512</v>
      </c>
      <c r="Q495" s="215" cm="1">
        <f t="array" ref="Q495">IF(P495="-",0,P495/(1+'General inputs'!$H$32)^IFERROR(INDEX('MP Calculations'!$C$40:$C$130,MATCH(F495,'MP Calculations'!$D$40:$D$130,0),0),-1))</f>
        <v>2594.2349818932398</v>
      </c>
    </row>
    <row r="496" spans="3:17">
      <c r="C496" s="159"/>
      <c r="D496" s="165" t="s">
        <v>378</v>
      </c>
      <c r="E496" s="161">
        <v>42263</v>
      </c>
      <c r="F496" s="172" t="str">
        <f t="shared" si="24"/>
        <v>2015-16</v>
      </c>
      <c r="G496" s="68"/>
      <c r="H496" s="167" t="s">
        <v>293</v>
      </c>
      <c r="I496" s="173">
        <v>20414.77563211487</v>
      </c>
      <c r="J496" s="168">
        <f>IFERROR(MIN('MP Calculations'!$E$30/I496,1),"-")</f>
        <v>0.40513348981719682</v>
      </c>
      <c r="K496" s="12"/>
      <c r="L496" s="159">
        <v>1</v>
      </c>
      <c r="M496" s="159" t="s">
        <v>295</v>
      </c>
      <c r="N496" s="159">
        <v>14527.56</v>
      </c>
      <c r="O496" s="185">
        <f t="shared" si="26"/>
        <v>14527.56</v>
      </c>
      <c r="P496" s="215">
        <f t="shared" si="25"/>
        <v>5885.6010813287157</v>
      </c>
      <c r="Q496" s="215" cm="1">
        <f t="array" ref="Q496">IF(P496="-",0,P496/(1+'General inputs'!$H$32)^IFERROR(INDEX('MP Calculations'!$C$40:$C$130,MATCH(F496,'MP Calculations'!$D$40:$D$130,0),0),-1))</f>
        <v>7849.9132178212631</v>
      </c>
    </row>
    <row r="497" spans="3:17">
      <c r="C497" s="159"/>
      <c r="D497" s="165" t="s">
        <v>281</v>
      </c>
      <c r="E497" s="161">
        <v>42271</v>
      </c>
      <c r="F497" s="172" t="str">
        <f t="shared" si="24"/>
        <v>2015-16</v>
      </c>
      <c r="G497" s="68"/>
      <c r="H497" s="167" t="s">
        <v>293</v>
      </c>
      <c r="I497" s="173">
        <v>20414.77563211487</v>
      </c>
      <c r="J497" s="168">
        <f>IFERROR(MIN('MP Calculations'!$E$30/I497,1),"-")</f>
        <v>0.40513348981719682</v>
      </c>
      <c r="K497" s="12"/>
      <c r="L497" s="159">
        <v>17.217310000000001</v>
      </c>
      <c r="M497" s="159" t="s">
        <v>294</v>
      </c>
      <c r="N497" s="159">
        <v>350</v>
      </c>
      <c r="O497" s="185">
        <f t="shared" si="26"/>
        <v>6026.0585000000001</v>
      </c>
      <c r="P497" s="215">
        <f t="shared" si="25"/>
        <v>2441.3581099475823</v>
      </c>
      <c r="Q497" s="215" cm="1">
        <f t="array" ref="Q497">IF(P497="-",0,P497/(1+'General inputs'!$H$32)^IFERROR(INDEX('MP Calculations'!$C$40:$C$130,MATCH(F497,'MP Calculations'!$D$40:$D$130,0),0),-1))</f>
        <v>3256.1583824478557</v>
      </c>
    </row>
    <row r="498" spans="3:17">
      <c r="C498" s="159"/>
      <c r="D498" s="165" t="s">
        <v>382</v>
      </c>
      <c r="E498" s="161">
        <v>42271</v>
      </c>
      <c r="F498" s="172" t="str">
        <f t="shared" si="24"/>
        <v>2015-16</v>
      </c>
      <c r="G498" s="68"/>
      <c r="H498" s="167" t="s">
        <v>293</v>
      </c>
      <c r="I498" s="173">
        <v>20414.77563211487</v>
      </c>
      <c r="J498" s="168">
        <f>IFERROR(MIN('MP Calculations'!$E$30/I498,1),"-")</f>
        <v>0.40513348981719682</v>
      </c>
      <c r="K498" s="12"/>
      <c r="L498" s="159">
        <v>1</v>
      </c>
      <c r="M498" s="159" t="s">
        <v>295</v>
      </c>
      <c r="N498" s="159">
        <v>15432.51</v>
      </c>
      <c r="O498" s="185">
        <f t="shared" si="26"/>
        <v>15432.51</v>
      </c>
      <c r="P498" s="215">
        <f t="shared" si="25"/>
        <v>6252.2266329387885</v>
      </c>
      <c r="Q498" s="215" cm="1">
        <f t="array" ref="Q498">IF(P498="-",0,P498/(1+'General inputs'!$H$32)^IFERROR(INDEX('MP Calculations'!$C$40:$C$130,MATCH(F498,'MP Calculations'!$D$40:$D$130,0),0),-1))</f>
        <v>8338.8995972591983</v>
      </c>
    </row>
    <row r="499" spans="3:17">
      <c r="C499" s="159"/>
      <c r="D499" s="165" t="s">
        <v>283</v>
      </c>
      <c r="E499" s="161">
        <v>42353</v>
      </c>
      <c r="F499" s="172" t="str">
        <f t="shared" si="24"/>
        <v>2015-16</v>
      </c>
      <c r="G499" s="68"/>
      <c r="H499" s="167" t="s">
        <v>293</v>
      </c>
      <c r="I499" s="173">
        <v>20414.77563211487</v>
      </c>
      <c r="J499" s="168">
        <f>IFERROR(MIN('MP Calculations'!$E$30/I499,1),"-")</f>
        <v>0.40513348981719682</v>
      </c>
      <c r="K499" s="12"/>
      <c r="L499" s="159">
        <v>5.9999960000000003</v>
      </c>
      <c r="M499" s="159" t="s">
        <v>294</v>
      </c>
      <c r="N499" s="159">
        <v>940</v>
      </c>
      <c r="O499" s="185">
        <f t="shared" si="26"/>
        <v>5639.9962400000004</v>
      </c>
      <c r="P499" s="215">
        <f t="shared" si="25"/>
        <v>2284.9513592670687</v>
      </c>
      <c r="Q499" s="215" cm="1">
        <f t="array" ref="Q499">IF(P499="-",0,P499/(1+'General inputs'!$H$32)^IFERROR(INDEX('MP Calculations'!$C$40:$C$130,MATCH(F499,'MP Calculations'!$D$40:$D$130,0),0),-1))</f>
        <v>3047.5510707123722</v>
      </c>
    </row>
    <row r="500" spans="3:17">
      <c r="C500" s="159"/>
      <c r="D500" s="165" t="s">
        <v>383</v>
      </c>
      <c r="E500" s="161">
        <v>42387</v>
      </c>
      <c r="F500" s="172" t="str">
        <f t="shared" si="24"/>
        <v>2015-16</v>
      </c>
      <c r="G500" s="68"/>
      <c r="H500" s="167" t="s">
        <v>293</v>
      </c>
      <c r="I500" s="173">
        <v>20414.77563211487</v>
      </c>
      <c r="J500" s="168">
        <f>IFERROR(MIN('MP Calculations'!$E$30/I500,1),"-")</f>
        <v>0.40513348981719682</v>
      </c>
      <c r="K500" s="12"/>
      <c r="L500" s="159">
        <v>1</v>
      </c>
      <c r="M500" s="159" t="s">
        <v>295</v>
      </c>
      <c r="N500" s="159">
        <v>163467.01</v>
      </c>
      <c r="O500" s="185">
        <f t="shared" si="26"/>
        <v>163467.01</v>
      </c>
      <c r="P500" s="215">
        <f t="shared" si="25"/>
        <v>66225.960231282617</v>
      </c>
      <c r="Q500" s="215" cm="1">
        <f t="array" ref="Q500">IF(P500="-",0,P500/(1+'General inputs'!$H$32)^IFERROR(INDEX('MP Calculations'!$C$40:$C$130,MATCH(F500,'MP Calculations'!$D$40:$D$130,0),0),-1))</f>
        <v>88328.793168069562</v>
      </c>
    </row>
    <row r="501" spans="3:17">
      <c r="C501" s="159"/>
      <c r="D501" s="165" t="s">
        <v>384</v>
      </c>
      <c r="E501" s="161">
        <v>42387</v>
      </c>
      <c r="F501" s="172" t="str">
        <f t="shared" si="24"/>
        <v>2015-16</v>
      </c>
      <c r="G501" s="68"/>
      <c r="H501" s="167" t="s">
        <v>293</v>
      </c>
      <c r="I501" s="173">
        <v>20414.77563211487</v>
      </c>
      <c r="J501" s="168">
        <f>IFERROR(MIN('MP Calculations'!$E$30/I501,1),"-")</f>
        <v>0.40513348981719682</v>
      </c>
      <c r="K501" s="12"/>
      <c r="L501" s="159">
        <v>1</v>
      </c>
      <c r="M501" s="159" t="s">
        <v>295</v>
      </c>
      <c r="N501" s="159">
        <v>248579.5</v>
      </c>
      <c r="O501" s="185">
        <f t="shared" si="19"/>
        <v>248579.5</v>
      </c>
      <c r="P501" s="215">
        <f t="shared" si="25"/>
        <v>100707.88033201388</v>
      </c>
      <c r="Q501" s="215" cm="1">
        <f t="array" ref="Q501">IF(P501="-",0,P501/(1+'General inputs'!$H$32)^IFERROR(INDEX('MP Calculations'!$C$40:$C$130,MATCH(F501,'MP Calculations'!$D$40:$D$130,0),0),-1))</f>
        <v>134319.01177688481</v>
      </c>
    </row>
    <row r="502" spans="3:17">
      <c r="C502" s="159"/>
      <c r="D502" s="165" t="s">
        <v>385</v>
      </c>
      <c r="E502" s="161">
        <v>42464</v>
      </c>
      <c r="F502" s="172" t="str">
        <f t="shared" si="24"/>
        <v>2015-16</v>
      </c>
      <c r="G502" s="68"/>
      <c r="H502" s="167" t="s">
        <v>293</v>
      </c>
      <c r="I502" s="173">
        <v>20414.77563211487</v>
      </c>
      <c r="J502" s="168">
        <f>IFERROR(MIN('MP Calculations'!$E$30/I502,1),"-")</f>
        <v>0.40513348981719682</v>
      </c>
      <c r="K502" s="12"/>
      <c r="L502" s="159">
        <v>1</v>
      </c>
      <c r="M502" s="159" t="s">
        <v>295</v>
      </c>
      <c r="N502" s="159">
        <v>1879.57</v>
      </c>
      <c r="O502" s="185">
        <f t="shared" si="19"/>
        <v>1879.57</v>
      </c>
      <c r="P502" s="215">
        <f t="shared" si="25"/>
        <v>761.4767534557086</v>
      </c>
      <c r="Q502" s="215" cm="1">
        <f t="array" ref="Q502">IF(P502="-",0,P502/(1+'General inputs'!$H$32)^IFERROR(INDEX('MP Calculations'!$C$40:$C$130,MATCH(F502,'MP Calculations'!$D$40:$D$130,0),0),-1))</f>
        <v>1015.6186852314023</v>
      </c>
    </row>
    <row r="503" spans="3:17">
      <c r="C503" s="159"/>
      <c r="D503" s="165" t="s">
        <v>282</v>
      </c>
      <c r="E503" s="161">
        <v>42535</v>
      </c>
      <c r="F503" s="172" t="str">
        <f t="shared" si="24"/>
        <v>2015-16</v>
      </c>
      <c r="G503" s="68"/>
      <c r="H503" s="167" t="s">
        <v>293</v>
      </c>
      <c r="I503" s="173">
        <v>20414.77563211487</v>
      </c>
      <c r="J503" s="168">
        <f>IFERROR(MIN('MP Calculations'!$E$30/I503,1),"-")</f>
        <v>0.40513348981719682</v>
      </c>
      <c r="K503" s="12"/>
      <c r="L503" s="159">
        <v>41.851770999999999</v>
      </c>
      <c r="M503" s="159" t="s">
        <v>294</v>
      </c>
      <c r="N503" s="159">
        <v>511</v>
      </c>
      <c r="O503" s="185">
        <f t="shared" si="19"/>
        <v>21386.254980999998</v>
      </c>
      <c r="P503" s="215">
        <f t="shared" si="25"/>
        <v>8664.288114572937</v>
      </c>
      <c r="Q503" s="215" cm="1">
        <f t="array" ref="Q503">IF(P503="-",0,P503/(1+'General inputs'!$H$32)^IFERROR(INDEX('MP Calculations'!$C$40:$C$130,MATCH(F503,'MP Calculations'!$D$40:$D$130,0),0),-1))</f>
        <v>11555.983637654754</v>
      </c>
    </row>
    <row r="504" spans="3:17">
      <c r="C504" s="159"/>
      <c r="D504" s="165" t="s">
        <v>282</v>
      </c>
      <c r="E504" s="161">
        <v>42535</v>
      </c>
      <c r="F504" s="172" t="str">
        <f t="shared" si="24"/>
        <v>2015-16</v>
      </c>
      <c r="G504" s="68"/>
      <c r="H504" s="167" t="s">
        <v>293</v>
      </c>
      <c r="I504" s="173">
        <v>20414.77563211487</v>
      </c>
      <c r="J504" s="168">
        <f>IFERROR(MIN('MP Calculations'!$E$30/I504,1),"-")</f>
        <v>0.40513348981719682</v>
      </c>
      <c r="K504" s="12"/>
      <c r="L504" s="159">
        <v>36.505384999999997</v>
      </c>
      <c r="M504" s="159" t="s">
        <v>294</v>
      </c>
      <c r="N504" s="159">
        <v>511</v>
      </c>
      <c r="O504" s="185">
        <f t="shared" si="19"/>
        <v>18654.251734999998</v>
      </c>
      <c r="P504" s="215">
        <f t="shared" si="25"/>
        <v>7557.4621053290475</v>
      </c>
      <c r="Q504" s="215" cm="1">
        <f t="array" ref="Q504">IF(P504="-",0,P504/(1+'General inputs'!$H$32)^IFERROR(INDEX('MP Calculations'!$C$40:$C$130,MATCH(F504,'MP Calculations'!$D$40:$D$130,0),0),-1))</f>
        <v>10079.755806421843</v>
      </c>
    </row>
    <row r="505" spans="3:17">
      <c r="C505" s="159"/>
      <c r="D505" s="165" t="s">
        <v>281</v>
      </c>
      <c r="E505" s="161">
        <v>42535</v>
      </c>
      <c r="F505" s="172" t="str">
        <f t="shared" si="24"/>
        <v>2015-16</v>
      </c>
      <c r="G505" s="68"/>
      <c r="H505" s="167" t="s">
        <v>293</v>
      </c>
      <c r="I505" s="173">
        <v>20414.77563211487</v>
      </c>
      <c r="J505" s="168">
        <f>IFERROR(MIN('MP Calculations'!$E$30/I505,1),"-")</f>
        <v>0.40513348981719682</v>
      </c>
      <c r="K505" s="12"/>
      <c r="L505" s="159">
        <v>1.000005</v>
      </c>
      <c r="M505" s="159" t="s">
        <v>294</v>
      </c>
      <c r="N505" s="159">
        <v>350</v>
      </c>
      <c r="O505" s="185">
        <f t="shared" si="19"/>
        <v>350.00175000000002</v>
      </c>
      <c r="P505" s="215">
        <f t="shared" si="25"/>
        <v>141.79743041962607</v>
      </c>
      <c r="Q505" s="215" cm="1">
        <f t="array" ref="Q505">IF(P505="-",0,P505/(1+'General inputs'!$H$32)^IFERROR(INDEX('MP Calculations'!$C$40:$C$130,MATCH(F505,'MP Calculations'!$D$40:$D$130,0),0),-1))</f>
        <v>189.12214877003248</v>
      </c>
    </row>
    <row r="506" spans="3:17">
      <c r="C506" s="159"/>
      <c r="D506" s="165" t="s">
        <v>281</v>
      </c>
      <c r="E506" s="161">
        <v>42535</v>
      </c>
      <c r="F506" s="172" t="str">
        <f t="shared" si="24"/>
        <v>2015-16</v>
      </c>
      <c r="G506" s="68"/>
      <c r="H506" s="167" t="s">
        <v>293</v>
      </c>
      <c r="I506" s="173">
        <v>20414.77563211487</v>
      </c>
      <c r="J506" s="168">
        <f>IFERROR(MIN('MP Calculations'!$E$30/I506,1),"-")</f>
        <v>0.40513348981719682</v>
      </c>
      <c r="K506" s="12"/>
      <c r="L506" s="159">
        <v>1.2753669999999999</v>
      </c>
      <c r="M506" s="159" t="s">
        <v>294</v>
      </c>
      <c r="N506" s="159">
        <v>350</v>
      </c>
      <c r="O506" s="185">
        <f t="shared" si="19"/>
        <v>446.37844999999999</v>
      </c>
      <c r="P506" s="215">
        <f t="shared" si="25"/>
        <v>180.84285922769109</v>
      </c>
      <c r="Q506" s="215" cm="1">
        <f t="array" ref="Q506">IF(P506="-",0,P506/(1+'General inputs'!$H$32)^IFERROR(INDEX('MP Calculations'!$C$40:$C$130,MATCH(F506,'MP Calculations'!$D$40:$D$130,0),0),-1))</f>
        <v>241.19894151568244</v>
      </c>
    </row>
    <row r="507" spans="3:17">
      <c r="C507" s="159"/>
      <c r="D507" s="165" t="s">
        <v>281</v>
      </c>
      <c r="E507" s="161">
        <v>42535</v>
      </c>
      <c r="F507" s="172" t="str">
        <f t="shared" si="24"/>
        <v>2015-16</v>
      </c>
      <c r="G507" s="68"/>
      <c r="H507" s="167" t="s">
        <v>293</v>
      </c>
      <c r="I507" s="173">
        <v>20414.77563211487</v>
      </c>
      <c r="J507" s="168">
        <f>IFERROR(MIN('MP Calculations'!$E$30/I507,1),"-")</f>
        <v>0.40513348981719682</v>
      </c>
      <c r="K507" s="12"/>
      <c r="L507" s="159">
        <v>0.99996799999999997</v>
      </c>
      <c r="M507" s="159" t="s">
        <v>294</v>
      </c>
      <c r="N507" s="159">
        <v>350</v>
      </c>
      <c r="O507" s="185">
        <f t="shared" si="19"/>
        <v>349.98879999999997</v>
      </c>
      <c r="P507" s="215">
        <f t="shared" si="25"/>
        <v>141.79218394093292</v>
      </c>
      <c r="Q507" s="215" cm="1">
        <f t="array" ref="Q507">IF(P507="-",0,P507/(1+'General inputs'!$H$32)^IFERROR(INDEX('MP Calculations'!$C$40:$C$130,MATCH(F507,'MP Calculations'!$D$40:$D$130,0),0),-1))</f>
        <v>189.1151512855154</v>
      </c>
    </row>
    <row r="508" spans="3:17">
      <c r="C508" s="159"/>
      <c r="D508" s="165" t="s">
        <v>281</v>
      </c>
      <c r="E508" s="161">
        <v>42535</v>
      </c>
      <c r="F508" s="172" t="str">
        <f t="shared" si="24"/>
        <v>2015-16</v>
      </c>
      <c r="G508" s="68"/>
      <c r="H508" s="167" t="s">
        <v>293</v>
      </c>
      <c r="I508" s="173">
        <v>20414.77563211487</v>
      </c>
      <c r="J508" s="168">
        <f>IFERROR(MIN('MP Calculations'!$E$30/I508,1),"-")</f>
        <v>0.40513348981719682</v>
      </c>
      <c r="K508" s="12"/>
      <c r="L508" s="159">
        <v>0.69998000000000005</v>
      </c>
      <c r="M508" s="159" t="s">
        <v>294</v>
      </c>
      <c r="N508" s="159">
        <v>350</v>
      </c>
      <c r="O508" s="185">
        <f t="shared" si="19"/>
        <v>244.99300000000002</v>
      </c>
      <c r="P508" s="215">
        <f t="shared" si="25"/>
        <v>99.254869070784508</v>
      </c>
      <c r="Q508" s="215" cm="1">
        <f t="array" ref="Q508">IF(P508="-",0,P508/(1+'General inputs'!$H$32)^IFERROR(INDEX('MP Calculations'!$C$40:$C$130,MATCH(F508,'MP Calculations'!$D$40:$D$130,0),0),-1))</f>
        <v>132.3810597907484</v>
      </c>
    </row>
    <row r="509" spans="3:17">
      <c r="C509" s="159"/>
      <c r="D509" s="165" t="s">
        <v>281</v>
      </c>
      <c r="E509" s="161">
        <v>42535</v>
      </c>
      <c r="F509" s="172" t="str">
        <f t="shared" si="24"/>
        <v>2015-16</v>
      </c>
      <c r="G509" s="68"/>
      <c r="H509" s="167" t="s">
        <v>293</v>
      </c>
      <c r="I509" s="173">
        <v>20414.77563211487</v>
      </c>
      <c r="J509" s="168">
        <f>IFERROR(MIN('MP Calculations'!$E$30/I509,1),"-")</f>
        <v>0.40513348981719682</v>
      </c>
      <c r="K509" s="12"/>
      <c r="L509" s="159">
        <v>0.69969899999999996</v>
      </c>
      <c r="M509" s="159" t="s">
        <v>294</v>
      </c>
      <c r="N509" s="159">
        <v>350</v>
      </c>
      <c r="O509" s="185">
        <f t="shared" si="19"/>
        <v>244.89464999999998</v>
      </c>
      <c r="P509" s="215">
        <f t="shared" si="25"/>
        <v>99.21502419206098</v>
      </c>
      <c r="Q509" s="215" cm="1">
        <f t="array" ref="Q509">IF(P509="-",0,P509/(1+'General inputs'!$H$32)^IFERROR(INDEX('MP Calculations'!$C$40:$C$130,MATCH(F509,'MP Calculations'!$D$40:$D$130,0),0),-1))</f>
        <v>132.3279167326593</v>
      </c>
    </row>
    <row r="510" spans="3:17">
      <c r="C510" s="159"/>
      <c r="D510" s="165" t="s">
        <v>281</v>
      </c>
      <c r="E510" s="161">
        <v>42535</v>
      </c>
      <c r="F510" s="172" t="str">
        <f t="shared" si="24"/>
        <v>2015-16</v>
      </c>
      <c r="G510" s="68"/>
      <c r="H510" s="167" t="s">
        <v>293</v>
      </c>
      <c r="I510" s="173">
        <v>20414.77563211487</v>
      </c>
      <c r="J510" s="168">
        <f>IFERROR(MIN('MP Calculations'!$E$30/I510,1),"-")</f>
        <v>0.40513348981719682</v>
      </c>
      <c r="K510" s="12"/>
      <c r="L510" s="159">
        <v>1.0000359999999999</v>
      </c>
      <c r="M510" s="159" t="s">
        <v>294</v>
      </c>
      <c r="N510" s="159">
        <v>350</v>
      </c>
      <c r="O510" s="185">
        <f t="shared" si="19"/>
        <v>350.01259999999996</v>
      </c>
      <c r="P510" s="215">
        <f t="shared" si="25"/>
        <v>141.80182611799057</v>
      </c>
      <c r="Q510" s="215" cm="1">
        <f t="array" ref="Q510">IF(P510="-",0,P510/(1+'General inputs'!$H$32)^IFERROR(INDEX('MP Calculations'!$C$40:$C$130,MATCH(F510,'MP Calculations'!$D$40:$D$130,0),0),-1))</f>
        <v>189.12801152733056</v>
      </c>
    </row>
    <row r="511" spans="3:17">
      <c r="C511" s="159"/>
      <c r="D511" s="165" t="s">
        <v>386</v>
      </c>
      <c r="E511" s="161">
        <v>42551</v>
      </c>
      <c r="F511" s="172" t="str">
        <f t="shared" si="24"/>
        <v>2015-16</v>
      </c>
      <c r="G511" s="68"/>
      <c r="H511" s="167" t="s">
        <v>293</v>
      </c>
      <c r="I511" s="173">
        <v>20414.77563211487</v>
      </c>
      <c r="J511" s="168">
        <f>IFERROR(MIN('MP Calculations'!$E$30/I511,1),"-")</f>
        <v>0.40513348981719682</v>
      </c>
      <c r="K511" s="12"/>
      <c r="L511" s="159">
        <v>1</v>
      </c>
      <c r="M511" s="159" t="s">
        <v>295</v>
      </c>
      <c r="N511" s="159">
        <v>189.86</v>
      </c>
      <c r="O511" s="185">
        <f t="shared" si="19"/>
        <v>189.86</v>
      </c>
      <c r="P511" s="215">
        <f t="shared" si="25"/>
        <v>76.918644376692995</v>
      </c>
      <c r="Q511" s="215" cm="1">
        <f t="array" ref="Q511">IF(P511="-",0,P511/(1+'General inputs'!$H$32)^IFERROR(INDEX('MP Calculations'!$C$40:$C$130,MATCH(F511,'MP Calculations'!$D$40:$D$130,0),0),-1))</f>
        <v>102.59014752205773</v>
      </c>
    </row>
    <row r="512" spans="3:17">
      <c r="C512" s="159"/>
      <c r="D512" s="165" t="s">
        <v>387</v>
      </c>
      <c r="E512" s="161">
        <v>42555</v>
      </c>
      <c r="F512" s="172" t="str">
        <f t="shared" si="24"/>
        <v>2016-17</v>
      </c>
      <c r="G512" s="68"/>
      <c r="H512" s="167" t="s">
        <v>293</v>
      </c>
      <c r="I512" s="173">
        <v>20414.77563211487</v>
      </c>
      <c r="J512" s="168">
        <f>IFERROR(MIN('MP Calculations'!$E$30/I512,1),"-")</f>
        <v>0.40513348981719682</v>
      </c>
      <c r="K512" s="12"/>
      <c r="L512" s="159">
        <v>1</v>
      </c>
      <c r="M512" s="159" t="s">
        <v>295</v>
      </c>
      <c r="N512" s="159">
        <v>4018.11</v>
      </c>
      <c r="O512" s="185">
        <f t="shared" si="19"/>
        <v>4018.11</v>
      </c>
      <c r="P512" s="215">
        <f t="shared" si="25"/>
        <v>1627.8709267693769</v>
      </c>
      <c r="Q512" s="215" cm="1">
        <f t="array" ref="Q512">IF(P512="-",0,P512/(1+'General inputs'!$H$32)^IFERROR(INDEX('MP Calculations'!$C$40:$C$130,MATCH(F512,'MP Calculations'!$D$40:$D$130,0),0),-1))</f>
        <v>2083.6572460799757</v>
      </c>
    </row>
    <row r="513" spans="3:17">
      <c r="C513" s="159"/>
      <c r="D513" s="165" t="s">
        <v>388</v>
      </c>
      <c r="E513" s="161">
        <v>42582</v>
      </c>
      <c r="F513" s="172" t="str">
        <f t="shared" si="24"/>
        <v>2016-17</v>
      </c>
      <c r="G513" s="68"/>
      <c r="H513" s="167" t="s">
        <v>293</v>
      </c>
      <c r="I513" s="173">
        <v>20414.77563211487</v>
      </c>
      <c r="J513" s="168">
        <f>IFERROR(MIN('MP Calculations'!$E$30/I513,1),"-")</f>
        <v>0.40513348981719682</v>
      </c>
      <c r="K513" s="12"/>
      <c r="L513" s="159">
        <v>1</v>
      </c>
      <c r="M513" s="159" t="s">
        <v>295</v>
      </c>
      <c r="N513" s="159">
        <v>16285.42</v>
      </c>
      <c r="O513" s="185">
        <f t="shared" si="19"/>
        <v>16285.42</v>
      </c>
      <c r="P513" s="215">
        <f t="shared" si="25"/>
        <v>6597.7690377387735</v>
      </c>
      <c r="Q513" s="215" cm="1">
        <f t="array" ref="Q513">IF(P513="-",0,P513/(1+'General inputs'!$H$32)^IFERROR(INDEX('MP Calculations'!$C$40:$C$130,MATCH(F513,'MP Calculations'!$D$40:$D$130,0),0),-1))</f>
        <v>8445.0732778484798</v>
      </c>
    </row>
    <row r="514" spans="3:17">
      <c r="C514" s="159"/>
      <c r="D514" s="165" t="s">
        <v>281</v>
      </c>
      <c r="E514" s="161">
        <v>42640</v>
      </c>
      <c r="F514" s="172" t="str">
        <f t="shared" si="24"/>
        <v>2016-17</v>
      </c>
      <c r="G514" s="68"/>
      <c r="H514" s="167" t="s">
        <v>293</v>
      </c>
      <c r="I514" s="173">
        <v>20414.77563211487</v>
      </c>
      <c r="J514" s="168">
        <f>IFERROR(MIN('MP Calculations'!$E$30/I514,1),"-")</f>
        <v>0.40513348981719682</v>
      </c>
      <c r="K514" s="12"/>
      <c r="L514" s="159">
        <v>12.499950999999999</v>
      </c>
      <c r="M514" s="159" t="s">
        <v>294</v>
      </c>
      <c r="N514" s="159">
        <v>350</v>
      </c>
      <c r="O514" s="185">
        <f t="shared" si="19"/>
        <v>4374.9828499999994</v>
      </c>
      <c r="P514" s="215">
        <f t="shared" si="25"/>
        <v>1772.4520699108855</v>
      </c>
      <c r="Q514" s="215" cm="1">
        <f t="array" ref="Q514">IF(P514="-",0,P514/(1+'General inputs'!$H$32)^IFERROR(INDEX('MP Calculations'!$C$40:$C$130,MATCH(F514,'MP Calculations'!$D$40:$D$130,0),0),-1))</f>
        <v>2268.7195514503387</v>
      </c>
    </row>
    <row r="515" spans="3:17">
      <c r="C515" s="159"/>
      <c r="D515" s="165" t="s">
        <v>389</v>
      </c>
      <c r="E515" s="161">
        <v>42704</v>
      </c>
      <c r="F515" s="172" t="str">
        <f t="shared" si="24"/>
        <v>2016-17</v>
      </c>
      <c r="G515" s="68"/>
      <c r="H515" s="167" t="s">
        <v>293</v>
      </c>
      <c r="I515" s="173">
        <v>20414.77563211487</v>
      </c>
      <c r="J515" s="168">
        <f>IFERROR(MIN('MP Calculations'!$E$30/I515,1),"-")</f>
        <v>0.40513348981719682</v>
      </c>
      <c r="K515" s="12"/>
      <c r="L515" s="159">
        <v>1</v>
      </c>
      <c r="M515" s="159" t="s">
        <v>295</v>
      </c>
      <c r="N515" s="159">
        <v>36926.21</v>
      </c>
      <c r="O515" s="185">
        <f t="shared" si="19"/>
        <v>36926.21</v>
      </c>
      <c r="P515" s="215">
        <f t="shared" si="25"/>
        <v>14960.044323022672</v>
      </c>
      <c r="Q515" s="215" cm="1">
        <f t="array" ref="Q515">IF(P515="-",0,P515/(1+'General inputs'!$H$32)^IFERROR(INDEX('MP Calculations'!$C$40:$C$130,MATCH(F515,'MP Calculations'!$D$40:$D$130,0),0),-1))</f>
        <v>19148.695540134751</v>
      </c>
    </row>
    <row r="516" spans="3:17">
      <c r="C516" s="159"/>
      <c r="D516" s="165" t="s">
        <v>281</v>
      </c>
      <c r="E516" s="161">
        <v>42724</v>
      </c>
      <c r="F516" s="172" t="str">
        <f t="shared" si="24"/>
        <v>2016-17</v>
      </c>
      <c r="G516" s="68"/>
      <c r="H516" s="167" t="s">
        <v>293</v>
      </c>
      <c r="I516" s="173">
        <v>20414.77563211487</v>
      </c>
      <c r="J516" s="168">
        <f>IFERROR(MIN('MP Calculations'!$E$30/I516,1),"-")</f>
        <v>0.40513348981719682</v>
      </c>
      <c r="K516" s="12"/>
      <c r="L516" s="159">
        <v>2.6397729999999999</v>
      </c>
      <c r="M516" s="159" t="s">
        <v>294</v>
      </c>
      <c r="N516" s="159">
        <v>350</v>
      </c>
      <c r="O516" s="185">
        <f t="shared" si="19"/>
        <v>923.92054999999993</v>
      </c>
      <c r="P516" s="215">
        <f t="shared" si="25"/>
        <v>374.31115673532383</v>
      </c>
      <c r="Q516" s="215" cm="1">
        <f t="array" ref="Q516">IF(P516="-",0,P516/(1+'General inputs'!$H$32)^IFERROR(INDEX('MP Calculations'!$C$40:$C$130,MATCH(F516,'MP Calculations'!$D$40:$D$130,0),0),-1))</f>
        <v>479.11424744710723</v>
      </c>
    </row>
    <row r="517" spans="3:17">
      <c r="C517" s="159"/>
      <c r="D517" s="165" t="s">
        <v>281</v>
      </c>
      <c r="E517" s="161">
        <v>42724</v>
      </c>
      <c r="F517" s="172" t="str">
        <f t="shared" si="24"/>
        <v>2016-17</v>
      </c>
      <c r="G517" s="68"/>
      <c r="H517" s="167" t="s">
        <v>293</v>
      </c>
      <c r="I517" s="173">
        <v>20414.77563211487</v>
      </c>
      <c r="J517" s="168">
        <f>IFERROR(MIN('MP Calculations'!$E$30/I517,1),"-")</f>
        <v>0.40513348981719682</v>
      </c>
      <c r="K517" s="12"/>
      <c r="L517" s="159">
        <v>129.81109499999999</v>
      </c>
      <c r="M517" s="159" t="s">
        <v>294</v>
      </c>
      <c r="N517" s="159">
        <v>350</v>
      </c>
      <c r="O517" s="185">
        <f t="shared" si="19"/>
        <v>45433.883249999999</v>
      </c>
      <c r="P517" s="215">
        <f t="shared" si="25"/>
        <v>18406.787677019583</v>
      </c>
      <c r="Q517" s="215" cm="1">
        <f t="array" ref="Q517">IF(P517="-",0,P517/(1+'General inputs'!$H$32)^IFERROR(INDEX('MP Calculations'!$C$40:$C$130,MATCH(F517,'MP Calculations'!$D$40:$D$130,0),0),-1))</f>
        <v>23560.489894854574</v>
      </c>
    </row>
    <row r="518" spans="3:17">
      <c r="C518" s="159"/>
      <c r="D518" s="165" t="s">
        <v>281</v>
      </c>
      <c r="E518" s="161">
        <v>42724</v>
      </c>
      <c r="F518" s="172" t="str">
        <f t="shared" si="24"/>
        <v>2016-17</v>
      </c>
      <c r="G518" s="68"/>
      <c r="H518" s="167" t="s">
        <v>293</v>
      </c>
      <c r="I518" s="173">
        <v>20414.77563211487</v>
      </c>
      <c r="J518" s="168">
        <f>IFERROR(MIN('MP Calculations'!$E$30/I518,1),"-")</f>
        <v>0.40513348981719682</v>
      </c>
      <c r="K518" s="12"/>
      <c r="L518" s="159">
        <v>0.13111300000000001</v>
      </c>
      <c r="M518" s="159" t="s">
        <v>294</v>
      </c>
      <c r="N518" s="159">
        <v>350</v>
      </c>
      <c r="O518" s="185">
        <f t="shared" si="19"/>
        <v>45.88955</v>
      </c>
      <c r="P518" s="215">
        <f t="shared" si="25"/>
        <v>18.591393537640744</v>
      </c>
      <c r="Q518" s="215" cm="1">
        <f t="array" ref="Q518">IF(P518="-",0,P518/(1+'General inputs'!$H$32)^IFERROR(INDEX('MP Calculations'!$C$40:$C$130,MATCH(F518,'MP Calculations'!$D$40:$D$130,0),0),-1))</f>
        <v>23.796783407335621</v>
      </c>
    </row>
    <row r="519" spans="3:17">
      <c r="C519" s="159"/>
      <c r="D519" s="165" t="s">
        <v>281</v>
      </c>
      <c r="E519" s="161">
        <v>42724</v>
      </c>
      <c r="F519" s="172" t="str">
        <f t="shared" si="24"/>
        <v>2016-17</v>
      </c>
      <c r="G519" s="68"/>
      <c r="H519" s="167" t="s">
        <v>293</v>
      </c>
      <c r="I519" s="173">
        <v>20414.77563211487</v>
      </c>
      <c r="J519" s="168">
        <f>IFERROR(MIN('MP Calculations'!$E$30/I519,1),"-")</f>
        <v>0.40513348981719682</v>
      </c>
      <c r="K519" s="12"/>
      <c r="L519" s="159">
        <v>0.25548500000000002</v>
      </c>
      <c r="M519" s="159" t="s">
        <v>294</v>
      </c>
      <c r="N519" s="159">
        <v>350</v>
      </c>
      <c r="O519" s="185">
        <f t="shared" si="19"/>
        <v>89.419750000000008</v>
      </c>
      <c r="P519" s="215">
        <f t="shared" si="25"/>
        <v>36.226935376081286</v>
      </c>
      <c r="Q519" s="215" cm="1">
        <f t="array" ref="Q519">IF(P519="-",0,P519/(1+'General inputs'!$H$32)^IFERROR(INDEX('MP Calculations'!$C$40:$C$130,MATCH(F519,'MP Calculations'!$D$40:$D$130,0),0),-1))</f>
        <v>46.37008693892399</v>
      </c>
    </row>
    <row r="520" spans="3:17">
      <c r="C520" s="159"/>
      <c r="D520" s="165" t="s">
        <v>291</v>
      </c>
      <c r="E520" s="161">
        <v>42814</v>
      </c>
      <c r="F520" s="172" t="str">
        <f t="shared" si="24"/>
        <v>2016-17</v>
      </c>
      <c r="G520" s="68"/>
      <c r="H520" s="167" t="s">
        <v>293</v>
      </c>
      <c r="I520" s="173">
        <v>20414.77563211487</v>
      </c>
      <c r="J520" s="168">
        <f>IFERROR(MIN('MP Calculations'!$E$30/I520,1),"-")</f>
        <v>0.40513348981719682</v>
      </c>
      <c r="K520" s="12"/>
      <c r="L520" s="159">
        <v>4.1105070000000001</v>
      </c>
      <c r="M520" s="159" t="s">
        <v>294</v>
      </c>
      <c r="N520" s="159">
        <v>589</v>
      </c>
      <c r="O520" s="185">
        <f t="shared" si="19"/>
        <v>2421.0886230000001</v>
      </c>
      <c r="P520" s="215">
        <f t="shared" si="25"/>
        <v>980.86408299270158</v>
      </c>
      <c r="Q520" s="215" cm="1">
        <f t="array" ref="Q520">IF(P520="-",0,P520/(1+'General inputs'!$H$32)^IFERROR(INDEX('MP Calculations'!$C$40:$C$130,MATCH(F520,'MP Calculations'!$D$40:$D$130,0),0),-1))</f>
        <v>1255.4954574951257</v>
      </c>
    </row>
    <row r="521" spans="3:17">
      <c r="C521" s="159"/>
      <c r="D521" s="165" t="s">
        <v>392</v>
      </c>
      <c r="E521" s="161">
        <v>42887</v>
      </c>
      <c r="F521" s="172" t="str">
        <f t="shared" si="24"/>
        <v>2016-17</v>
      </c>
      <c r="G521" s="68"/>
      <c r="H521" s="167" t="s">
        <v>293</v>
      </c>
      <c r="I521" s="173">
        <v>20414.77563211487</v>
      </c>
      <c r="J521" s="168">
        <f>IFERROR(MIN('MP Calculations'!$E$30/I521,1),"-")</f>
        <v>0.40513348981719682</v>
      </c>
      <c r="K521" s="12"/>
      <c r="L521" s="159">
        <v>1</v>
      </c>
      <c r="M521" s="159" t="s">
        <v>295</v>
      </c>
      <c r="N521" s="159">
        <v>7474.64</v>
      </c>
      <c r="O521" s="185">
        <f t="shared" si="19"/>
        <v>7474.64</v>
      </c>
      <c r="P521" s="215">
        <f t="shared" si="25"/>
        <v>3028.226988327212</v>
      </c>
      <c r="Q521" s="215" cm="1">
        <f t="array" ref="Q521">IF(P521="-",0,P521/(1+'General inputs'!$H$32)^IFERROR(INDEX('MP Calculations'!$C$40:$C$130,MATCH(F521,'MP Calculations'!$D$40:$D$130,0),0),-1))</f>
        <v>3876.0979161444629</v>
      </c>
    </row>
    <row r="522" spans="3:17">
      <c r="C522" s="159"/>
      <c r="D522" s="165" t="s">
        <v>394</v>
      </c>
      <c r="E522" s="161">
        <v>42887</v>
      </c>
      <c r="F522" s="172" t="str">
        <f t="shared" si="24"/>
        <v>2016-17</v>
      </c>
      <c r="G522" s="68"/>
      <c r="H522" s="167" t="s">
        <v>293</v>
      </c>
      <c r="I522" s="173">
        <v>20414.77563211487</v>
      </c>
      <c r="J522" s="168">
        <f>IFERROR(MIN('MP Calculations'!$E$30/I522,1),"-")</f>
        <v>0.40513348981719682</v>
      </c>
      <c r="K522" s="12"/>
      <c r="L522" s="159">
        <v>1</v>
      </c>
      <c r="M522" s="159" t="s">
        <v>295</v>
      </c>
      <c r="N522" s="159">
        <v>292.08999999999997</v>
      </c>
      <c r="O522" s="185">
        <f t="shared" si="19"/>
        <v>292.08999999999997</v>
      </c>
      <c r="P522" s="215">
        <f t="shared" si="25"/>
        <v>118.33544104070501</v>
      </c>
      <c r="Q522" s="215" cm="1">
        <f t="array" ref="Q522">IF(P522="-",0,P522/(1+'General inputs'!$H$32)^IFERROR(INDEX('MP Calculations'!$C$40:$C$130,MATCH(F522,'MP Calculations'!$D$40:$D$130,0),0),-1))</f>
        <v>151.46808947676891</v>
      </c>
    </row>
    <row r="523" spans="3:17">
      <c r="C523" s="159"/>
      <c r="D523" s="165" t="s">
        <v>393</v>
      </c>
      <c r="E523" s="161">
        <v>42887</v>
      </c>
      <c r="F523" s="172" t="str">
        <f t="shared" si="24"/>
        <v>2016-17</v>
      </c>
      <c r="G523" s="68"/>
      <c r="H523" s="167" t="s">
        <v>293</v>
      </c>
      <c r="I523" s="173">
        <v>20414.77563211487</v>
      </c>
      <c r="J523" s="168">
        <f>IFERROR(MIN('MP Calculations'!$E$30/I523,1),"-")</f>
        <v>0.40513348981719682</v>
      </c>
      <c r="K523" s="12"/>
      <c r="L523" s="159">
        <v>1</v>
      </c>
      <c r="M523" s="159" t="s">
        <v>295</v>
      </c>
      <c r="N523" s="159">
        <v>7109.06</v>
      </c>
      <c r="O523" s="185">
        <f t="shared" si="19"/>
        <v>7109.06</v>
      </c>
      <c r="P523" s="215">
        <f t="shared" si="25"/>
        <v>2880.1182871198416</v>
      </c>
      <c r="Q523" s="215" cm="1">
        <f t="array" ref="Q523">IF(P523="-",0,P523/(1+'General inputs'!$H$32)^IFERROR(INDEX('MP Calculations'!$C$40:$C$130,MATCH(F523,'MP Calculations'!$D$40:$D$130,0),0),-1))</f>
        <v>3686.5203744589649</v>
      </c>
    </row>
    <row r="524" spans="3:17">
      <c r="C524" s="159"/>
      <c r="D524" s="165" t="s">
        <v>395</v>
      </c>
      <c r="E524" s="161">
        <v>42887</v>
      </c>
      <c r="F524" s="172" t="str">
        <f t="shared" si="24"/>
        <v>2016-17</v>
      </c>
      <c r="G524" s="68"/>
      <c r="H524" s="167" t="s">
        <v>293</v>
      </c>
      <c r="I524" s="173">
        <v>20414.77563211487</v>
      </c>
      <c r="J524" s="168">
        <f>IFERROR(MIN('MP Calculations'!$E$30/I524,1),"-")</f>
        <v>0.40513348981719682</v>
      </c>
      <c r="K524" s="12"/>
      <c r="L524" s="159">
        <v>1</v>
      </c>
      <c r="M524" s="159" t="s">
        <v>295</v>
      </c>
      <c r="N524" s="159">
        <v>652.29999999999995</v>
      </c>
      <c r="O524" s="185">
        <f t="shared" si="19"/>
        <v>652.29999999999995</v>
      </c>
      <c r="P524" s="215">
        <f t="shared" si="25"/>
        <v>264.26857540775745</v>
      </c>
      <c r="Q524" s="215" cm="1">
        <f t="array" ref="Q524">IF(P524="-",0,P524/(1+'General inputs'!$H$32)^IFERROR(INDEX('MP Calculations'!$C$40:$C$130,MATCH(F524,'MP Calculations'!$D$40:$D$130,0),0),-1))</f>
        <v>338.2609290482261</v>
      </c>
    </row>
    <row r="525" spans="3:17">
      <c r="C525" s="159"/>
      <c r="D525" s="165" t="s">
        <v>390</v>
      </c>
      <c r="E525" s="161">
        <v>42887</v>
      </c>
      <c r="F525" s="172" t="str">
        <f t="shared" si="24"/>
        <v>2016-17</v>
      </c>
      <c r="G525" s="68"/>
      <c r="H525" s="167" t="s">
        <v>293</v>
      </c>
      <c r="I525" s="173">
        <v>20414.77563211487</v>
      </c>
      <c r="J525" s="168">
        <f>IFERROR(MIN('MP Calculations'!$E$30/I525,1),"-")</f>
        <v>0.40513348981719682</v>
      </c>
      <c r="K525" s="12"/>
      <c r="L525" s="159">
        <v>1</v>
      </c>
      <c r="M525" s="159" t="s">
        <v>295</v>
      </c>
      <c r="N525" s="159">
        <v>4564.96</v>
      </c>
      <c r="O525" s="185">
        <f t="shared" si="19"/>
        <v>4564.96</v>
      </c>
      <c r="P525" s="215">
        <f t="shared" si="25"/>
        <v>1849.4181756759108</v>
      </c>
      <c r="Q525" s="215" cm="1">
        <f t="array" ref="Q525">IF(P525="-",0,P525/(1+'General inputs'!$H$32)^IFERROR(INDEX('MP Calculations'!$C$40:$C$130,MATCH(F525,'MP Calculations'!$D$40:$D$130,0),0),-1))</f>
        <v>2367.2353375256639</v>
      </c>
    </row>
    <row r="526" spans="3:17">
      <c r="C526" s="159"/>
      <c r="D526" s="165" t="s">
        <v>391</v>
      </c>
      <c r="E526" s="161">
        <v>42887</v>
      </c>
      <c r="F526" s="172" t="str">
        <f t="shared" si="24"/>
        <v>2016-17</v>
      </c>
      <c r="G526" s="68"/>
      <c r="H526" s="167" t="s">
        <v>293</v>
      </c>
      <c r="I526" s="173">
        <v>20414.77563211487</v>
      </c>
      <c r="J526" s="168">
        <f>IFERROR(MIN('MP Calculations'!$E$30/I526,1),"-")</f>
        <v>0.40513348981719682</v>
      </c>
      <c r="K526" s="12"/>
      <c r="L526" s="159">
        <v>1</v>
      </c>
      <c r="M526" s="159" t="s">
        <v>295</v>
      </c>
      <c r="N526" s="159">
        <v>1750.14</v>
      </c>
      <c r="O526" s="185">
        <f t="shared" si="19"/>
        <v>1750.14</v>
      </c>
      <c r="P526" s="215">
        <f t="shared" si="25"/>
        <v>709.0403258686689</v>
      </c>
      <c r="Q526" s="215" cm="1">
        <f t="array" ref="Q526">IF(P526="-",0,P526/(1+'General inputs'!$H$32)^IFERROR(INDEX('MP Calculations'!$C$40:$C$130,MATCH(F526,'MP Calculations'!$D$40:$D$130,0),0),-1))</f>
        <v>907.56397725657303</v>
      </c>
    </row>
    <row r="527" spans="3:17">
      <c r="C527" s="159"/>
      <c r="D527" s="165" t="s">
        <v>281</v>
      </c>
      <c r="E527" s="161">
        <v>42901</v>
      </c>
      <c r="F527" s="172" t="str">
        <f t="shared" si="24"/>
        <v>2016-17</v>
      </c>
      <c r="G527" s="68"/>
      <c r="H527" s="167" t="s">
        <v>293</v>
      </c>
      <c r="I527" s="173">
        <v>20414.77563211487</v>
      </c>
      <c r="J527" s="168">
        <f>IFERROR(MIN('MP Calculations'!$E$30/I527,1),"-")</f>
        <v>0.40513348981719682</v>
      </c>
      <c r="K527" s="12"/>
      <c r="L527" s="159">
        <v>11.248651000000001</v>
      </c>
      <c r="M527" s="159" t="s">
        <v>294</v>
      </c>
      <c r="N527" s="159">
        <v>350</v>
      </c>
      <c r="O527" s="185">
        <f t="shared" si="19"/>
        <v>3937.0278500000004</v>
      </c>
      <c r="P527" s="215">
        <f t="shared" si="25"/>
        <v>1595.0218323779955</v>
      </c>
      <c r="Q527" s="215" cm="1">
        <f t="array" ref="Q527">IF(P527="-",0,P527/(1+'General inputs'!$H$32)^IFERROR(INDEX('MP Calculations'!$C$40:$C$130,MATCH(F527,'MP Calculations'!$D$40:$D$130,0),0),-1))</f>
        <v>2041.6107592054891</v>
      </c>
    </row>
    <row r="528" spans="3:17">
      <c r="C528" s="159"/>
      <c r="D528" s="165" t="s">
        <v>281</v>
      </c>
      <c r="E528" s="161">
        <v>42901</v>
      </c>
      <c r="F528" s="172" t="str">
        <f t="shared" si="24"/>
        <v>2016-17</v>
      </c>
      <c r="G528" s="68"/>
      <c r="H528" s="167" t="s">
        <v>293</v>
      </c>
      <c r="I528" s="173">
        <v>20414.77563211487</v>
      </c>
      <c r="J528" s="168">
        <f>IFERROR(MIN('MP Calculations'!$E$30/I528,1),"-")</f>
        <v>0.40513348981719682</v>
      </c>
      <c r="K528" s="12"/>
      <c r="L528" s="159">
        <v>238.35146900000001</v>
      </c>
      <c r="M528" s="159" t="s">
        <v>294</v>
      </c>
      <c r="N528" s="159">
        <v>350</v>
      </c>
      <c r="O528" s="185">
        <f t="shared" si="19"/>
        <v>83423.014150000003</v>
      </c>
      <c r="P528" s="215">
        <f t="shared" si="25"/>
        <v>33797.456853658892</v>
      </c>
      <c r="Q528" s="215" cm="1">
        <f t="array" ref="Q528">IF(P528="-",0,P528/(1+'General inputs'!$H$32)^IFERROR(INDEX('MP Calculations'!$C$40:$C$130,MATCH(F528,'MP Calculations'!$D$40:$D$130,0),0),-1))</f>
        <v>43260.38060766874</v>
      </c>
    </row>
    <row r="529" spans="3:17">
      <c r="C529" s="159"/>
      <c r="D529" s="165" t="s">
        <v>396</v>
      </c>
      <c r="E529" s="161">
        <v>42917</v>
      </c>
      <c r="F529" s="172" t="str">
        <f t="shared" si="24"/>
        <v>2017-18</v>
      </c>
      <c r="G529" s="68"/>
      <c r="H529" s="167" t="s">
        <v>293</v>
      </c>
      <c r="I529" s="173">
        <v>20414.77563211487</v>
      </c>
      <c r="J529" s="168">
        <f>IFERROR(MIN('MP Calculations'!$E$30/I529,1),"-")</f>
        <v>0.40513348981719682</v>
      </c>
      <c r="K529" s="12"/>
      <c r="L529" s="159">
        <v>1</v>
      </c>
      <c r="M529" s="159" t="s">
        <v>295</v>
      </c>
      <c r="N529" s="159">
        <v>3625.77</v>
      </c>
      <c r="O529" s="185">
        <f t="shared" si="19"/>
        <v>3625.77</v>
      </c>
      <c r="P529" s="215">
        <f t="shared" si="25"/>
        <v>1468.9208533744977</v>
      </c>
      <c r="Q529" s="215" cm="1">
        <f t="array" ref="Q529">IF(P529="-",0,P529/(1+'General inputs'!$H$32)^IFERROR(INDEX('MP Calculations'!$C$40:$C$130,MATCH(F529,'MP Calculations'!$D$40:$D$130,0),0),-1))</f>
        <v>1804.4173366693119</v>
      </c>
    </row>
    <row r="530" spans="3:17">
      <c r="C530" s="159"/>
      <c r="D530" s="165" t="s">
        <v>291</v>
      </c>
      <c r="E530" s="161">
        <v>42970</v>
      </c>
      <c r="F530" s="172" t="str">
        <f t="shared" si="24"/>
        <v>2017-18</v>
      </c>
      <c r="G530" s="68"/>
      <c r="H530" s="167" t="s">
        <v>293</v>
      </c>
      <c r="I530" s="173">
        <v>20414.77563211487</v>
      </c>
      <c r="J530" s="168">
        <f>IFERROR(MIN('MP Calculations'!$E$30/I530,1),"-")</f>
        <v>0.40513348981719682</v>
      </c>
      <c r="K530" s="12"/>
      <c r="L530" s="159">
        <v>0.98621300000000001</v>
      </c>
      <c r="M530" s="159" t="s">
        <v>294</v>
      </c>
      <c r="N530" s="159">
        <v>589</v>
      </c>
      <c r="O530" s="185">
        <f t="shared" si="19"/>
        <v>580.879457</v>
      </c>
      <c r="P530" s="215">
        <f t="shared" si="25"/>
        <v>235.33372157752831</v>
      </c>
      <c r="Q530" s="215" cm="1">
        <f t="array" ref="Q530">IF(P530="-",0,P530/(1+'General inputs'!$H$32)^IFERROR(INDEX('MP Calculations'!$C$40:$C$130,MATCH(F530,'MP Calculations'!$D$40:$D$130,0),0),-1))</f>
        <v>289.08313619613381</v>
      </c>
    </row>
    <row r="531" spans="3:17">
      <c r="C531" s="159"/>
      <c r="D531" s="165" t="s">
        <v>281</v>
      </c>
      <c r="E531" s="161">
        <v>43174</v>
      </c>
      <c r="F531" s="172" t="str">
        <f t="shared" si="24"/>
        <v>2017-18</v>
      </c>
      <c r="G531" s="68"/>
      <c r="H531" s="167" t="s">
        <v>293</v>
      </c>
      <c r="I531" s="173">
        <v>20414.77563211487</v>
      </c>
      <c r="J531" s="168">
        <f>IFERROR(MIN('MP Calculations'!$E$30/I531,1),"-")</f>
        <v>0.40513348981719682</v>
      </c>
      <c r="K531" s="12"/>
      <c r="L531" s="159">
        <v>15.500038</v>
      </c>
      <c r="M531" s="159" t="s">
        <v>294</v>
      </c>
      <c r="N531" s="159">
        <v>350</v>
      </c>
      <c r="O531" s="185">
        <f t="shared" si="19"/>
        <v>5425.0132999999996</v>
      </c>
      <c r="P531" s="215">
        <f t="shared" si="25"/>
        <v>2197.8545705337074</v>
      </c>
      <c r="Q531" s="215" cm="1">
        <f t="array" ref="Q531">IF(P531="-",0,P531/(1+'General inputs'!$H$32)^IFERROR(INDEX('MP Calculations'!$C$40:$C$130,MATCH(F531,'MP Calculations'!$D$40:$D$130,0),0),-1))</f>
        <v>2699.8370139809185</v>
      </c>
    </row>
    <row r="532" spans="3:17">
      <c r="C532" s="159"/>
      <c r="D532" s="165" t="s">
        <v>281</v>
      </c>
      <c r="E532" s="161">
        <v>43252</v>
      </c>
      <c r="F532" s="172" t="str">
        <f t="shared" si="24"/>
        <v>2017-18</v>
      </c>
      <c r="G532" s="68"/>
      <c r="H532" s="167" t="s">
        <v>293</v>
      </c>
      <c r="I532" s="173">
        <v>20414.77563211487</v>
      </c>
      <c r="J532" s="168">
        <f>IFERROR(MIN('MP Calculations'!$E$30/I532,1),"-")</f>
        <v>0.40513348981719682</v>
      </c>
      <c r="K532" s="12"/>
      <c r="L532" s="159">
        <v>162.20369199999999</v>
      </c>
      <c r="M532" s="159" t="s">
        <v>294</v>
      </c>
      <c r="N532" s="159">
        <v>350</v>
      </c>
      <c r="O532" s="185">
        <f t="shared" si="19"/>
        <v>56771.292199999996</v>
      </c>
      <c r="P532" s="215">
        <f t="shared" si="25"/>
        <v>22999.951730417804</v>
      </c>
      <c r="Q532" s="215" cm="1">
        <f t="array" ref="Q532">IF(P532="-",0,P532/(1+'General inputs'!$H$32)^IFERROR(INDEX('MP Calculations'!$C$40:$C$130,MATCH(F532,'MP Calculations'!$D$40:$D$130,0),0),-1))</f>
        <v>28253.061796749182</v>
      </c>
    </row>
    <row r="533" spans="3:17">
      <c r="C533" s="159"/>
      <c r="D533" s="165" t="s">
        <v>281</v>
      </c>
      <c r="E533" s="161">
        <v>43252</v>
      </c>
      <c r="F533" s="172" t="str">
        <f t="shared" si="24"/>
        <v>2017-18</v>
      </c>
      <c r="G533" s="68"/>
      <c r="H533" s="167" t="s">
        <v>293</v>
      </c>
      <c r="I533" s="173">
        <v>20414.77563211487</v>
      </c>
      <c r="J533" s="168">
        <f>IFERROR(MIN('MP Calculations'!$E$30/I533,1),"-")</f>
        <v>0.40513348981719682</v>
      </c>
      <c r="K533" s="12"/>
      <c r="L533" s="159">
        <v>197.37461099999999</v>
      </c>
      <c r="M533" s="159" t="s">
        <v>294</v>
      </c>
      <c r="N533" s="159">
        <v>350</v>
      </c>
      <c r="O533" s="185">
        <f t="shared" si="19"/>
        <v>69081.113849999994</v>
      </c>
      <c r="P533" s="215">
        <f t="shared" si="25"/>
        <v>27987.072734509587</v>
      </c>
      <c r="Q533" s="215" cm="1">
        <f t="array" ref="Q533">IF(P533="-",0,P533/(1+'General inputs'!$H$32)^IFERROR(INDEX('MP Calculations'!$C$40:$C$130,MATCH(F533,'MP Calculations'!$D$40:$D$130,0),0),-1))</f>
        <v>34379.22412821732</v>
      </c>
    </row>
    <row r="534" spans="3:17">
      <c r="C534" s="159"/>
      <c r="D534" s="165" t="s">
        <v>281</v>
      </c>
      <c r="E534" s="161">
        <v>43294</v>
      </c>
      <c r="F534" s="172" t="str">
        <f t="shared" ref="F534:F597" si="27">IF(E534="","-",IF(OR(E534&lt;$E$15,E534&gt;$E$16),"ERROR - date outside of range",IF(MONTH(E534)&gt;=7,YEAR(E534)&amp;"-"&amp;IF(YEAR(E534)=1999,"00",IF(AND(YEAR(E534)&gt;=2000,YEAR(E534)&lt;2009),"0","")&amp;RIGHT(YEAR(E534),2)+1),RIGHT(YEAR(E534),4)-1&amp;"-"&amp;RIGHT(YEAR(E534),2))))</f>
        <v>2018-19</v>
      </c>
      <c r="G534" s="68"/>
      <c r="H534" s="167" t="s">
        <v>293</v>
      </c>
      <c r="I534" s="173">
        <v>20414.77563211487</v>
      </c>
      <c r="J534" s="168">
        <f>IFERROR(MIN('MP Calculations'!$E$30/I534,1),"-")</f>
        <v>0.40513348981719682</v>
      </c>
      <c r="K534" s="12"/>
      <c r="L534" s="159">
        <v>5.9999640000000003</v>
      </c>
      <c r="M534" s="159" t="s">
        <v>294</v>
      </c>
      <c r="N534" s="159">
        <v>350</v>
      </c>
      <c r="O534" s="185">
        <f t="shared" si="19"/>
        <v>2099.9874</v>
      </c>
      <c r="P534" s="215">
        <f t="shared" si="25"/>
        <v>850.77522393414165</v>
      </c>
      <c r="Q534" s="215" cm="1">
        <f t="array" ref="Q534">IF(P534="-",0,P534/(1+'General inputs'!$H$32)^IFERROR(INDEX('MP Calculations'!$C$40:$C$130,MATCH(F534,'MP Calculations'!$D$40:$D$130,0),0),-1))</f>
        <v>1002.9648428182213</v>
      </c>
    </row>
    <row r="535" spans="3:17">
      <c r="C535" s="159"/>
      <c r="D535" s="165" t="s">
        <v>291</v>
      </c>
      <c r="E535" s="161">
        <v>43350</v>
      </c>
      <c r="F535" s="172" t="str">
        <f t="shared" si="27"/>
        <v>2018-19</v>
      </c>
      <c r="G535" s="68"/>
      <c r="H535" s="167" t="s">
        <v>293</v>
      </c>
      <c r="I535" s="173">
        <v>20414.77563211487</v>
      </c>
      <c r="J535" s="168">
        <f>IFERROR(MIN('MP Calculations'!$E$30/I535,1),"-")</f>
        <v>0.40513348981719682</v>
      </c>
      <c r="K535" s="12"/>
      <c r="L535" s="159">
        <v>7.4999570000000002</v>
      </c>
      <c r="M535" s="159" t="s">
        <v>294</v>
      </c>
      <c r="N535" s="159">
        <v>589</v>
      </c>
      <c r="O535" s="185">
        <f t="shared" si="19"/>
        <v>4417.4746729999997</v>
      </c>
      <c r="P535" s="215">
        <f t="shared" ref="P535:P597" si="28">IF(O535="-","-",IF(OR(E535&lt;$E$15,E535&gt;$E$16),0,O535*J535))</f>
        <v>1789.6669304515704</v>
      </c>
      <c r="Q535" s="215" cm="1">
        <f t="array" ref="Q535">IF(P535="-",0,P535/(1+'General inputs'!$H$32)^IFERROR(INDEX('MP Calculations'!$C$40:$C$130,MATCH(F535,'MP Calculations'!$D$40:$D$130,0),0),-1))</f>
        <v>2109.8087498329364</v>
      </c>
    </row>
    <row r="536" spans="3:17">
      <c r="C536" s="159"/>
      <c r="D536" s="165" t="s">
        <v>397</v>
      </c>
      <c r="E536" s="161">
        <v>43369</v>
      </c>
      <c r="F536" s="172" t="str">
        <f t="shared" si="27"/>
        <v>2018-19</v>
      </c>
      <c r="G536" s="68"/>
      <c r="H536" s="167" t="s">
        <v>293</v>
      </c>
      <c r="I536" s="173">
        <v>20414.77563211487</v>
      </c>
      <c r="J536" s="168">
        <f>IFERROR(MIN('MP Calculations'!$E$30/I536,1),"-")</f>
        <v>0.40513348981719682</v>
      </c>
      <c r="K536" s="12"/>
      <c r="L536" s="159">
        <v>1</v>
      </c>
      <c r="M536" s="159" t="s">
        <v>295</v>
      </c>
      <c r="N536" s="159">
        <v>2119.3000000000002</v>
      </c>
      <c r="O536" s="185">
        <f t="shared" si="19"/>
        <v>2119.3000000000002</v>
      </c>
      <c r="P536" s="215">
        <f t="shared" si="28"/>
        <v>858.59940496958529</v>
      </c>
      <c r="Q536" s="215" cm="1">
        <f t="array" ref="Q536">IF(P536="-",0,P536/(1+'General inputs'!$H$32)^IFERROR(INDEX('MP Calculations'!$C$40:$C$130,MATCH(F536,'MP Calculations'!$D$40:$D$130,0),0),-1))</f>
        <v>1012.1886404578697</v>
      </c>
    </row>
    <row r="537" spans="3:17">
      <c r="C537" s="159"/>
      <c r="D537" s="165" t="s">
        <v>281</v>
      </c>
      <c r="E537" s="161">
        <v>43417</v>
      </c>
      <c r="F537" s="172" t="str">
        <f t="shared" si="27"/>
        <v>2018-19</v>
      </c>
      <c r="G537" s="68"/>
      <c r="H537" s="167" t="s">
        <v>293</v>
      </c>
      <c r="I537" s="173">
        <v>20414.77563211487</v>
      </c>
      <c r="J537" s="168">
        <f>IFERROR(MIN('MP Calculations'!$E$30/I537,1),"-")</f>
        <v>0.40513348981719682</v>
      </c>
      <c r="K537" s="12"/>
      <c r="L537" s="159">
        <v>21.841598000000001</v>
      </c>
      <c r="M537" s="159" t="s">
        <v>294</v>
      </c>
      <c r="N537" s="159">
        <v>350</v>
      </c>
      <c r="O537" s="185">
        <f t="shared" si="19"/>
        <v>7644.5593000000008</v>
      </c>
      <c r="P537" s="215">
        <f t="shared" si="28"/>
        <v>3097.0669873235074</v>
      </c>
      <c r="Q537" s="215" cm="1">
        <f t="array" ref="Q537">IF(P537="-",0,P537/(1+'General inputs'!$H$32)^IFERROR(INDEX('MP Calculations'!$C$40:$C$130,MATCH(F537,'MP Calculations'!$D$40:$D$130,0),0),-1))</f>
        <v>3651.0810573144736</v>
      </c>
    </row>
    <row r="538" spans="3:17">
      <c r="C538" s="159"/>
      <c r="D538" s="165" t="s">
        <v>281</v>
      </c>
      <c r="E538" s="161">
        <v>43417</v>
      </c>
      <c r="F538" s="172" t="str">
        <f t="shared" si="27"/>
        <v>2018-19</v>
      </c>
      <c r="G538" s="68"/>
      <c r="H538" s="167" t="s">
        <v>293</v>
      </c>
      <c r="I538" s="173">
        <v>20414.77563211487</v>
      </c>
      <c r="J538" s="168">
        <f>IFERROR(MIN('MP Calculations'!$E$30/I538,1),"-")</f>
        <v>0.40513348981719682</v>
      </c>
      <c r="K538" s="12"/>
      <c r="L538" s="159">
        <v>68.788977000000003</v>
      </c>
      <c r="M538" s="159" t="s">
        <v>294</v>
      </c>
      <c r="N538" s="159">
        <v>350</v>
      </c>
      <c r="O538" s="185">
        <f t="shared" si="19"/>
        <v>24076.141950000001</v>
      </c>
      <c r="P538" s="215">
        <f t="shared" si="28"/>
        <v>9754.0514095377112</v>
      </c>
      <c r="Q538" s="215" cm="1">
        <f t="array" ref="Q538">IF(P538="-",0,P538/(1+'General inputs'!$H$32)^IFERROR(INDEX('MP Calculations'!$C$40:$C$130,MATCH(F538,'MP Calculations'!$D$40:$D$130,0),0),-1))</f>
        <v>11498.889910744672</v>
      </c>
    </row>
    <row r="539" spans="3:17">
      <c r="C539" s="159"/>
      <c r="D539" s="165" t="s">
        <v>281</v>
      </c>
      <c r="E539" s="161">
        <v>43417</v>
      </c>
      <c r="F539" s="172" t="str">
        <f t="shared" si="27"/>
        <v>2018-19</v>
      </c>
      <c r="G539" s="68"/>
      <c r="H539" s="167" t="s">
        <v>293</v>
      </c>
      <c r="I539" s="173">
        <v>20414.77563211487</v>
      </c>
      <c r="J539" s="168">
        <f>IFERROR(MIN('MP Calculations'!$E$30/I539,1),"-")</f>
        <v>0.40513348981719682</v>
      </c>
      <c r="K539" s="12"/>
      <c r="L539" s="159">
        <v>61.123353999999999</v>
      </c>
      <c r="M539" s="159" t="s">
        <v>294</v>
      </c>
      <c r="N539" s="159">
        <v>350</v>
      </c>
      <c r="O539" s="185">
        <f t="shared" si="19"/>
        <v>21393.173899999998</v>
      </c>
      <c r="P539" s="215">
        <f t="shared" si="28"/>
        <v>8667.0912003731701</v>
      </c>
      <c r="Q539" s="215" cm="1">
        <f t="array" ref="Q539">IF(P539="-",0,P539/(1+'General inputs'!$H$32)^IFERROR(INDEX('MP Calculations'!$C$40:$C$130,MATCH(F539,'MP Calculations'!$D$40:$D$130,0),0),-1))</f>
        <v>10217.49049446505</v>
      </c>
    </row>
    <row r="540" spans="3:17">
      <c r="C540" s="159"/>
      <c r="D540" s="165" t="s">
        <v>281</v>
      </c>
      <c r="E540" s="161">
        <v>43424</v>
      </c>
      <c r="F540" s="172" t="str">
        <f t="shared" si="27"/>
        <v>2018-19</v>
      </c>
      <c r="G540" s="68"/>
      <c r="H540" s="167" t="s">
        <v>293</v>
      </c>
      <c r="I540" s="173">
        <v>20414.77563211487</v>
      </c>
      <c r="J540" s="168">
        <f>IFERROR(MIN('MP Calculations'!$E$30/I540,1),"-")</f>
        <v>0.40513348981719682</v>
      </c>
      <c r="K540" s="12"/>
      <c r="L540" s="159">
        <v>4.1517489999999997</v>
      </c>
      <c r="M540" s="159" t="s">
        <v>294</v>
      </c>
      <c r="N540" s="159">
        <v>350</v>
      </c>
      <c r="O540" s="185">
        <f t="shared" si="19"/>
        <v>1453.1121499999999</v>
      </c>
      <c r="P540" s="215">
        <f t="shared" si="28"/>
        <v>588.70439642526992</v>
      </c>
      <c r="Q540" s="215" cm="1">
        <f t="array" ref="Q540">IF(P540="-",0,P540/(1+'General inputs'!$H$32)^IFERROR(INDEX('MP Calculations'!$C$40:$C$130,MATCH(F540,'MP Calculations'!$D$40:$D$130,0),0),-1))</f>
        <v>694.01387795088556</v>
      </c>
    </row>
    <row r="541" spans="3:17">
      <c r="C541" s="159"/>
      <c r="D541" s="165" t="s">
        <v>281</v>
      </c>
      <c r="E541" s="161">
        <v>43424</v>
      </c>
      <c r="F541" s="172" t="str">
        <f t="shared" si="27"/>
        <v>2018-19</v>
      </c>
      <c r="G541" s="68"/>
      <c r="H541" s="167" t="s">
        <v>293</v>
      </c>
      <c r="I541" s="173">
        <v>20414.77563211487</v>
      </c>
      <c r="J541" s="168">
        <f>IFERROR(MIN('MP Calculations'!$E$30/I541,1),"-")</f>
        <v>0.40513348981719682</v>
      </c>
      <c r="K541" s="12"/>
      <c r="L541" s="159">
        <v>0.82645100000000005</v>
      </c>
      <c r="M541" s="159" t="s">
        <v>294</v>
      </c>
      <c r="N541" s="159">
        <v>350</v>
      </c>
      <c r="O541" s="185">
        <f t="shared" si="19"/>
        <v>289.25785000000002</v>
      </c>
      <c r="P541" s="215">
        <f t="shared" si="28"/>
        <v>117.18804222751925</v>
      </c>
      <c r="Q541" s="215" cm="1">
        <f t="array" ref="Q541">IF(P541="-",0,P541/(1+'General inputs'!$H$32)^IFERROR(INDEX('MP Calculations'!$C$40:$C$130,MATCH(F541,'MP Calculations'!$D$40:$D$130,0),0),-1))</f>
        <v>138.15104512493104</v>
      </c>
    </row>
    <row r="542" spans="3:17">
      <c r="C542" s="159"/>
      <c r="D542" s="165" t="s">
        <v>281</v>
      </c>
      <c r="E542" s="161">
        <v>43424</v>
      </c>
      <c r="F542" s="172" t="str">
        <f t="shared" si="27"/>
        <v>2018-19</v>
      </c>
      <c r="G542" s="68"/>
      <c r="H542" s="167" t="s">
        <v>293</v>
      </c>
      <c r="I542" s="173">
        <v>20414.77563211487</v>
      </c>
      <c r="J542" s="168">
        <f>IFERROR(MIN('MP Calculations'!$E$30/I542,1),"-")</f>
        <v>0.40513348981719682</v>
      </c>
      <c r="K542" s="12"/>
      <c r="L542" s="159">
        <v>18.725857000000001</v>
      </c>
      <c r="M542" s="159" t="s">
        <v>294</v>
      </c>
      <c r="N542" s="159">
        <v>350</v>
      </c>
      <c r="O542" s="185">
        <f t="shared" ref="O542:O597" si="29">IF(N542="","-",L542*N542)</f>
        <v>6554.0499500000005</v>
      </c>
      <c r="P542" s="215">
        <f t="shared" si="28"/>
        <v>2655.2651286797245</v>
      </c>
      <c r="Q542" s="215" cm="1">
        <f t="array" ref="Q542">IF(P542="-",0,P542/(1+'General inputs'!$H$32)^IFERROR(INDEX('MP Calculations'!$C$40:$C$130,MATCH(F542,'MP Calculations'!$D$40:$D$130,0),0),-1))</f>
        <v>3130.24815192916</v>
      </c>
    </row>
    <row r="543" spans="3:17">
      <c r="C543" s="159"/>
      <c r="D543" s="165" t="s">
        <v>281</v>
      </c>
      <c r="E543" s="161">
        <v>43517</v>
      </c>
      <c r="F543" s="172" t="str">
        <f t="shared" si="27"/>
        <v>2018-19</v>
      </c>
      <c r="G543" s="68"/>
      <c r="H543" s="167" t="s">
        <v>293</v>
      </c>
      <c r="I543" s="173">
        <v>20414.77563211487</v>
      </c>
      <c r="J543" s="168">
        <f>IFERROR(MIN('MP Calculations'!$E$30/I543,1),"-")</f>
        <v>0.40513348981719682</v>
      </c>
      <c r="K543" s="12"/>
      <c r="L543" s="159">
        <v>19.999987000000001</v>
      </c>
      <c r="M543" s="159" t="s">
        <v>294</v>
      </c>
      <c r="N543" s="159">
        <v>350</v>
      </c>
      <c r="O543" s="185">
        <f t="shared" si="29"/>
        <v>6999.9954500000003</v>
      </c>
      <c r="P543" s="215">
        <f t="shared" si="28"/>
        <v>2835.9325853629994</v>
      </c>
      <c r="Q543" s="215" cm="1">
        <f t="array" ref="Q543">IF(P543="-",0,P543/(1+'General inputs'!$H$32)^IFERROR(INDEX('MP Calculations'!$C$40:$C$130,MATCH(F543,'MP Calculations'!$D$40:$D$130,0),0),-1))</f>
        <v>3343.2340290410862</v>
      </c>
    </row>
    <row r="544" spans="3:17">
      <c r="C544" s="159"/>
      <c r="D544" s="165" t="s">
        <v>281</v>
      </c>
      <c r="E544" s="161">
        <v>43517</v>
      </c>
      <c r="F544" s="172" t="str">
        <f t="shared" si="27"/>
        <v>2018-19</v>
      </c>
      <c r="G544" s="68"/>
      <c r="H544" s="167" t="s">
        <v>293</v>
      </c>
      <c r="I544" s="173">
        <v>20414.77563211487</v>
      </c>
      <c r="J544" s="168">
        <f>IFERROR(MIN('MP Calculations'!$E$30/I544,1),"-")</f>
        <v>0.40513348981719682</v>
      </c>
      <c r="K544" s="12"/>
      <c r="L544" s="159">
        <v>11.3</v>
      </c>
      <c r="M544" s="159" t="s">
        <v>294</v>
      </c>
      <c r="N544" s="159">
        <v>350</v>
      </c>
      <c r="O544" s="185">
        <f t="shared" si="29"/>
        <v>3955.0000000000005</v>
      </c>
      <c r="P544" s="215">
        <f t="shared" si="28"/>
        <v>1602.3029522270135</v>
      </c>
      <c r="Q544" s="215" cm="1">
        <f t="array" ref="Q544">IF(P544="-",0,P544/(1+'General inputs'!$H$32)^IFERROR(INDEX('MP Calculations'!$C$40:$C$130,MATCH(F544,'MP Calculations'!$D$40:$D$130,0),0),-1))</f>
        <v>1888.9284542117089</v>
      </c>
    </row>
    <row r="545" spans="3:17">
      <c r="C545" s="159"/>
      <c r="D545" s="165" t="s">
        <v>281</v>
      </c>
      <c r="E545" s="161">
        <v>43539</v>
      </c>
      <c r="F545" s="172" t="str">
        <f t="shared" si="27"/>
        <v>2018-19</v>
      </c>
      <c r="G545" s="68"/>
      <c r="H545" s="167" t="s">
        <v>293</v>
      </c>
      <c r="I545" s="173">
        <v>20414.77563211487</v>
      </c>
      <c r="J545" s="168">
        <f>IFERROR(MIN('MP Calculations'!$E$30/I545,1),"-")</f>
        <v>0.40513348981719682</v>
      </c>
      <c r="K545" s="12"/>
      <c r="L545" s="159">
        <v>2.2000190000000002</v>
      </c>
      <c r="M545" s="159" t="s">
        <v>294</v>
      </c>
      <c r="N545" s="159">
        <v>350</v>
      </c>
      <c r="O545" s="185">
        <f t="shared" si="29"/>
        <v>770.00665000000004</v>
      </c>
      <c r="P545" s="215">
        <f t="shared" si="28"/>
        <v>311.95548129694885</v>
      </c>
      <c r="Q545" s="215" cm="1">
        <f t="array" ref="Q545">IF(P545="-",0,P545/(1+'General inputs'!$H$32)^IFERROR(INDEX('MP Calculations'!$C$40:$C$130,MATCH(F545,'MP Calculations'!$D$40:$D$130,0),0),-1))</f>
        <v>367.75915831029994</v>
      </c>
    </row>
    <row r="546" spans="3:17">
      <c r="C546" s="159"/>
      <c r="D546" s="165" t="s">
        <v>281</v>
      </c>
      <c r="E546" s="161">
        <v>43566</v>
      </c>
      <c r="F546" s="172" t="str">
        <f t="shared" si="27"/>
        <v>2018-19</v>
      </c>
      <c r="G546" s="68"/>
      <c r="H546" s="167" t="s">
        <v>293</v>
      </c>
      <c r="I546" s="173">
        <v>20414.77563211487</v>
      </c>
      <c r="J546" s="168">
        <f>IFERROR(MIN('MP Calculations'!$E$30/I546,1),"-")</f>
        <v>0.40513348981719682</v>
      </c>
      <c r="K546" s="12"/>
      <c r="L546" s="159">
        <v>2.0330819999999998</v>
      </c>
      <c r="M546" s="159" t="s">
        <v>294</v>
      </c>
      <c r="N546" s="159">
        <v>350</v>
      </c>
      <c r="O546" s="185">
        <f t="shared" si="29"/>
        <v>711.57869999999991</v>
      </c>
      <c r="P546" s="215">
        <f t="shared" si="28"/>
        <v>288.28436201058412</v>
      </c>
      <c r="Q546" s="215" cm="1">
        <f t="array" ref="Q546">IF(P546="-",0,P546/(1+'General inputs'!$H$32)^IFERROR(INDEX('MP Calculations'!$C$40:$C$130,MATCH(F546,'MP Calculations'!$D$40:$D$130,0),0),-1))</f>
        <v>339.85366721642907</v>
      </c>
    </row>
    <row r="547" spans="3:17">
      <c r="C547" s="159"/>
      <c r="D547" s="165" t="s">
        <v>281</v>
      </c>
      <c r="E547" s="161">
        <v>43566</v>
      </c>
      <c r="F547" s="172" t="str">
        <f t="shared" si="27"/>
        <v>2018-19</v>
      </c>
      <c r="G547" s="68"/>
      <c r="H547" s="167" t="s">
        <v>293</v>
      </c>
      <c r="I547" s="173">
        <v>20414.77563211487</v>
      </c>
      <c r="J547" s="168">
        <f>IFERROR(MIN('MP Calculations'!$E$30/I547,1),"-")</f>
        <v>0.40513348981719682</v>
      </c>
      <c r="K547" s="12"/>
      <c r="L547" s="159">
        <v>118.37692300000001</v>
      </c>
      <c r="M547" s="159" t="s">
        <v>294</v>
      </c>
      <c r="N547" s="159">
        <v>350</v>
      </c>
      <c r="O547" s="185">
        <f t="shared" si="29"/>
        <v>41431.923050000005</v>
      </c>
      <c r="P547" s="215">
        <f t="shared" si="28"/>
        <v>16785.45957508406</v>
      </c>
      <c r="Q547" s="215" cm="1">
        <f t="array" ref="Q547">IF(P547="-",0,P547/(1+'General inputs'!$H$32)^IFERROR(INDEX('MP Calculations'!$C$40:$C$130,MATCH(F547,'MP Calculations'!$D$40:$D$130,0),0),-1))</f>
        <v>19788.100723604293</v>
      </c>
    </row>
    <row r="548" spans="3:17">
      <c r="C548" s="159"/>
      <c r="D548" s="165" t="s">
        <v>281</v>
      </c>
      <c r="E548" s="161">
        <v>43566</v>
      </c>
      <c r="F548" s="172" t="str">
        <f t="shared" si="27"/>
        <v>2018-19</v>
      </c>
      <c r="G548" s="68"/>
      <c r="H548" s="167" t="s">
        <v>293</v>
      </c>
      <c r="I548" s="173">
        <v>20414.77563211487</v>
      </c>
      <c r="J548" s="168">
        <f>IFERROR(MIN('MP Calculations'!$E$30/I548,1),"-")</f>
        <v>0.40513348981719682</v>
      </c>
      <c r="K548" s="12"/>
      <c r="L548" s="159">
        <v>0.43836999999999998</v>
      </c>
      <c r="M548" s="159" t="s">
        <v>294</v>
      </c>
      <c r="N548" s="159">
        <v>350</v>
      </c>
      <c r="O548" s="185">
        <f t="shared" si="29"/>
        <v>153.42949999999999</v>
      </c>
      <c r="P548" s="215">
        <f t="shared" si="28"/>
        <v>62.159428775907593</v>
      </c>
      <c r="Q548" s="215" cm="1">
        <f t="array" ref="Q548">IF(P548="-",0,P548/(1+'General inputs'!$H$32)^IFERROR(INDEX('MP Calculations'!$C$40:$C$130,MATCH(F548,'MP Calculations'!$D$40:$D$130,0),0),-1))</f>
        <v>73.27872269670678</v>
      </c>
    </row>
    <row r="549" spans="3:17">
      <c r="C549" s="159"/>
      <c r="D549" s="165" t="s">
        <v>281</v>
      </c>
      <c r="E549" s="161">
        <v>43566</v>
      </c>
      <c r="F549" s="172" t="str">
        <f t="shared" si="27"/>
        <v>2018-19</v>
      </c>
      <c r="G549" s="68"/>
      <c r="H549" s="167" t="s">
        <v>293</v>
      </c>
      <c r="I549" s="173">
        <v>20414.77563211487</v>
      </c>
      <c r="J549" s="168">
        <f>IFERROR(MIN('MP Calculations'!$E$30/I549,1),"-")</f>
        <v>0.40513348981719682</v>
      </c>
      <c r="K549" s="12"/>
      <c r="L549" s="159">
        <v>0.92305099999999995</v>
      </c>
      <c r="M549" s="159" t="s">
        <v>294</v>
      </c>
      <c r="N549" s="159">
        <v>350</v>
      </c>
      <c r="O549" s="185">
        <f t="shared" si="29"/>
        <v>323.06784999999996</v>
      </c>
      <c r="P549" s="215">
        <f t="shared" si="28"/>
        <v>130.88560551823866</v>
      </c>
      <c r="Q549" s="215" cm="1">
        <f t="array" ref="Q549">IF(P549="-",0,P549/(1+'General inputs'!$H$32)^IFERROR(INDEX('MP Calculations'!$C$40:$C$130,MATCH(F549,'MP Calculations'!$D$40:$D$130,0),0),-1))</f>
        <v>154.29887598128954</v>
      </c>
    </row>
    <row r="550" spans="3:17">
      <c r="C550" s="159"/>
      <c r="D550" s="165" t="s">
        <v>281</v>
      </c>
      <c r="E550" s="161">
        <v>43601</v>
      </c>
      <c r="F550" s="172" t="str">
        <f t="shared" si="27"/>
        <v>2018-19</v>
      </c>
      <c r="G550" s="68"/>
      <c r="H550" s="167" t="s">
        <v>293</v>
      </c>
      <c r="I550" s="173">
        <v>20414.77563211487</v>
      </c>
      <c r="J550" s="168">
        <f>IFERROR(MIN('MP Calculations'!$E$30/I550,1),"-")</f>
        <v>0.40513348981719682</v>
      </c>
      <c r="K550" s="12"/>
      <c r="L550" s="159">
        <v>0.70002799999999998</v>
      </c>
      <c r="M550" s="159" t="s">
        <v>294</v>
      </c>
      <c r="N550" s="159">
        <v>350</v>
      </c>
      <c r="O550" s="185">
        <f t="shared" si="29"/>
        <v>245.00979999999998</v>
      </c>
      <c r="P550" s="215">
        <f t="shared" si="28"/>
        <v>99.26167531341342</v>
      </c>
      <c r="Q550" s="215" cm="1">
        <f t="array" ref="Q550">IF(P550="-",0,P550/(1+'General inputs'!$H$32)^IFERROR(INDEX('MP Calculations'!$C$40:$C$130,MATCH(F550,'MP Calculations'!$D$40:$D$130,0),0),-1))</f>
        <v>117.0179476057446</v>
      </c>
    </row>
    <row r="551" spans="3:17">
      <c r="C551" s="159"/>
      <c r="D551" s="165" t="s">
        <v>281</v>
      </c>
      <c r="E551" s="161">
        <v>43601</v>
      </c>
      <c r="F551" s="172" t="str">
        <f t="shared" si="27"/>
        <v>2018-19</v>
      </c>
      <c r="G551" s="68"/>
      <c r="H551" s="167" t="s">
        <v>293</v>
      </c>
      <c r="I551" s="173">
        <v>20414.77563211487</v>
      </c>
      <c r="J551" s="168">
        <f>IFERROR(MIN('MP Calculations'!$E$30/I551,1),"-")</f>
        <v>0.40513348981719682</v>
      </c>
      <c r="K551" s="12"/>
      <c r="L551" s="159">
        <v>5.6090350000000004</v>
      </c>
      <c r="M551" s="159" t="s">
        <v>294</v>
      </c>
      <c r="N551" s="159">
        <v>350</v>
      </c>
      <c r="O551" s="185">
        <f t="shared" si="29"/>
        <v>1963.1622500000001</v>
      </c>
      <c r="P551" s="215">
        <f t="shared" si="28"/>
        <v>795.34277341988025</v>
      </c>
      <c r="Q551" s="215" cm="1">
        <f t="array" ref="Q551">IF(P551="-",0,P551/(1+'General inputs'!$H$32)^IFERROR(INDEX('MP Calculations'!$C$40:$C$130,MATCH(F551,'MP Calculations'!$D$40:$D$130,0),0),-1))</f>
        <v>937.61644355481167</v>
      </c>
    </row>
    <row r="552" spans="3:17">
      <c r="C552" s="159"/>
      <c r="D552" s="165" t="s">
        <v>281</v>
      </c>
      <c r="E552" s="161">
        <v>43601</v>
      </c>
      <c r="F552" s="172" t="str">
        <f t="shared" si="27"/>
        <v>2018-19</v>
      </c>
      <c r="G552" s="68"/>
      <c r="H552" s="167" t="s">
        <v>293</v>
      </c>
      <c r="I552" s="173">
        <v>20414.77563211487</v>
      </c>
      <c r="J552" s="168">
        <f>IFERROR(MIN('MP Calculations'!$E$30/I552,1),"-")</f>
        <v>0.40513348981719682</v>
      </c>
      <c r="K552" s="12"/>
      <c r="L552" s="159">
        <v>16.791145</v>
      </c>
      <c r="M552" s="159" t="s">
        <v>294</v>
      </c>
      <c r="N552" s="159">
        <v>350</v>
      </c>
      <c r="O552" s="185">
        <f t="shared" si="29"/>
        <v>5876.9007499999998</v>
      </c>
      <c r="P552" s="215">
        <f t="shared" si="28"/>
        <v>2380.9293101568014</v>
      </c>
      <c r="Q552" s="215" cm="1">
        <f t="array" ref="Q552">IF(P552="-",0,P552/(1+'General inputs'!$H$32)^IFERROR(INDEX('MP Calculations'!$C$40:$C$130,MATCH(F552,'MP Calculations'!$D$40:$D$130,0),0),-1))</f>
        <v>2806.8381919729791</v>
      </c>
    </row>
    <row r="553" spans="3:17">
      <c r="C553" s="159"/>
      <c r="D553" s="165" t="s">
        <v>281</v>
      </c>
      <c r="E553" s="161">
        <v>43601</v>
      </c>
      <c r="F553" s="172" t="str">
        <f t="shared" si="27"/>
        <v>2018-19</v>
      </c>
      <c r="G553" s="68"/>
      <c r="H553" s="167" t="s">
        <v>293</v>
      </c>
      <c r="I553" s="173">
        <v>20414.77563211487</v>
      </c>
      <c r="J553" s="168">
        <f>IFERROR(MIN('MP Calculations'!$E$30/I553,1),"-")</f>
        <v>0.40513348981719682</v>
      </c>
      <c r="K553" s="12"/>
      <c r="L553" s="159">
        <v>0.64172300000000004</v>
      </c>
      <c r="M553" s="159" t="s">
        <v>294</v>
      </c>
      <c r="N553" s="159">
        <v>350</v>
      </c>
      <c r="O553" s="185">
        <f t="shared" si="29"/>
        <v>224.60305000000002</v>
      </c>
      <c r="P553" s="215">
        <f t="shared" si="28"/>
        <v>90.994217470086355</v>
      </c>
      <c r="Q553" s="215" cm="1">
        <f t="array" ref="Q553">IF(P553="-",0,P553/(1+'General inputs'!$H$32)^IFERROR(INDEX('MP Calculations'!$C$40:$C$130,MATCH(F553,'MP Calculations'!$D$40:$D$130,0),0),-1))</f>
        <v>107.27157826744252</v>
      </c>
    </row>
    <row r="554" spans="3:17">
      <c r="C554" s="159"/>
      <c r="D554" s="165" t="s">
        <v>281</v>
      </c>
      <c r="E554" s="161">
        <v>43601</v>
      </c>
      <c r="F554" s="172" t="str">
        <f t="shared" si="27"/>
        <v>2018-19</v>
      </c>
      <c r="G554" s="68"/>
      <c r="H554" s="167" t="s">
        <v>293</v>
      </c>
      <c r="I554" s="173">
        <v>20414.77563211487</v>
      </c>
      <c r="J554" s="168">
        <f>IFERROR(MIN('MP Calculations'!$E$30/I554,1),"-")</f>
        <v>0.40513348981719682</v>
      </c>
      <c r="K554" s="12"/>
      <c r="L554" s="159">
        <v>0.28520200000000001</v>
      </c>
      <c r="M554" s="159" t="s">
        <v>294</v>
      </c>
      <c r="N554" s="159">
        <v>350</v>
      </c>
      <c r="O554" s="185">
        <f t="shared" si="29"/>
        <v>99.820700000000002</v>
      </c>
      <c r="P554" s="215">
        <f t="shared" si="28"/>
        <v>40.440708546995459</v>
      </c>
      <c r="Q554" s="215" cm="1">
        <f t="array" ref="Q554">IF(P554="-",0,P554/(1+'General inputs'!$H$32)^IFERROR(INDEX('MP Calculations'!$C$40:$C$130,MATCH(F554,'MP Calculations'!$D$40:$D$130,0),0),-1))</f>
        <v>47.674882566202456</v>
      </c>
    </row>
    <row r="555" spans="3:17">
      <c r="C555" s="159"/>
      <c r="D555" s="165" t="s">
        <v>281</v>
      </c>
      <c r="E555" s="161">
        <v>43601</v>
      </c>
      <c r="F555" s="172" t="str">
        <f t="shared" si="27"/>
        <v>2018-19</v>
      </c>
      <c r="G555" s="68"/>
      <c r="H555" s="167" t="s">
        <v>293</v>
      </c>
      <c r="I555" s="173">
        <v>20414.77563211487</v>
      </c>
      <c r="J555" s="168">
        <f>IFERROR(MIN('MP Calculations'!$E$30/I555,1),"-")</f>
        <v>0.40513348981719682</v>
      </c>
      <c r="K555" s="12"/>
      <c r="L555" s="159">
        <v>7.3960090000000003</v>
      </c>
      <c r="M555" s="159" t="s">
        <v>294</v>
      </c>
      <c r="N555" s="159">
        <v>350</v>
      </c>
      <c r="O555" s="185">
        <f t="shared" si="29"/>
        <v>2588.6031499999999</v>
      </c>
      <c r="P555" s="215">
        <f t="shared" si="28"/>
        <v>1048.7298279112886</v>
      </c>
      <c r="Q555" s="215" cm="1">
        <f t="array" ref="Q555">IF(P555="-",0,P555/(1+'General inputs'!$H$32)^IFERROR(INDEX('MP Calculations'!$C$40:$C$130,MATCH(F555,'MP Calculations'!$D$40:$D$130,0),0),-1))</f>
        <v>1236.3302520093703</v>
      </c>
    </row>
    <row r="556" spans="3:17">
      <c r="C556" s="159"/>
      <c r="D556" s="165" t="s">
        <v>281</v>
      </c>
      <c r="E556" s="161">
        <v>43601</v>
      </c>
      <c r="F556" s="172" t="str">
        <f t="shared" si="27"/>
        <v>2018-19</v>
      </c>
      <c r="G556" s="68"/>
      <c r="H556" s="167" t="s">
        <v>293</v>
      </c>
      <c r="I556" s="173">
        <v>20414.77563211487</v>
      </c>
      <c r="J556" s="168">
        <f>IFERROR(MIN('MP Calculations'!$E$30/I556,1),"-")</f>
        <v>0.40513348981719682</v>
      </c>
      <c r="K556" s="12"/>
      <c r="L556" s="159">
        <v>1.2937099999999999</v>
      </c>
      <c r="M556" s="159" t="s">
        <v>294</v>
      </c>
      <c r="N556" s="159">
        <v>350</v>
      </c>
      <c r="O556" s="185">
        <f t="shared" si="29"/>
        <v>452.79849999999999</v>
      </c>
      <c r="P556" s="215">
        <f t="shared" si="28"/>
        <v>183.44383648899199</v>
      </c>
      <c r="Q556" s="215" cm="1">
        <f t="array" ref="Q556">IF(P556="-",0,P556/(1+'General inputs'!$H$32)^IFERROR(INDEX('MP Calculations'!$C$40:$C$130,MATCH(F556,'MP Calculations'!$D$40:$D$130,0),0),-1))</f>
        <v>216.25890535382564</v>
      </c>
    </row>
    <row r="557" spans="3:17">
      <c r="C557" s="159"/>
      <c r="D557" s="165" t="s">
        <v>281</v>
      </c>
      <c r="E557" s="161">
        <v>43601</v>
      </c>
      <c r="F557" s="172" t="str">
        <f t="shared" si="27"/>
        <v>2018-19</v>
      </c>
      <c r="G557" s="68"/>
      <c r="H557" s="167" t="s">
        <v>293</v>
      </c>
      <c r="I557" s="173">
        <v>20414.77563211487</v>
      </c>
      <c r="J557" s="168">
        <f>IFERROR(MIN('MP Calculations'!$E$30/I557,1),"-")</f>
        <v>0.40513348981719682</v>
      </c>
      <c r="K557" s="12"/>
      <c r="L557" s="159">
        <v>50.123362999999998</v>
      </c>
      <c r="M557" s="159" t="s">
        <v>294</v>
      </c>
      <c r="N557" s="159">
        <v>350</v>
      </c>
      <c r="O557" s="185">
        <f t="shared" si="29"/>
        <v>17543.177049999998</v>
      </c>
      <c r="P557" s="215">
        <f t="shared" si="28"/>
        <v>7107.328540747455</v>
      </c>
      <c r="Q557" s="215" cm="1">
        <f t="array" ref="Q557">IF(P557="-",0,P557/(1+'General inputs'!$H$32)^IFERROR(INDEX('MP Calculations'!$C$40:$C$130,MATCH(F557,'MP Calculations'!$D$40:$D$130,0),0),-1))</f>
        <v>8378.7120877418001</v>
      </c>
    </row>
    <row r="558" spans="3:17">
      <c r="C558" s="159"/>
      <c r="D558" s="165" t="s">
        <v>281</v>
      </c>
      <c r="E558" s="161">
        <v>43601</v>
      </c>
      <c r="F558" s="172" t="str">
        <f t="shared" si="27"/>
        <v>2018-19</v>
      </c>
      <c r="G558" s="68"/>
      <c r="H558" s="167" t="s">
        <v>293</v>
      </c>
      <c r="I558" s="173">
        <v>20414.77563211487</v>
      </c>
      <c r="J558" s="168">
        <f>IFERROR(MIN('MP Calculations'!$E$30/I558,1),"-")</f>
        <v>0.40513348981719682</v>
      </c>
      <c r="K558" s="12"/>
      <c r="L558" s="159">
        <v>59.423031000000002</v>
      </c>
      <c r="M558" s="159" t="s">
        <v>294</v>
      </c>
      <c r="N558" s="159">
        <v>350</v>
      </c>
      <c r="O558" s="185">
        <f t="shared" si="29"/>
        <v>20798.060850000002</v>
      </c>
      <c r="P558" s="215">
        <f t="shared" si="28"/>
        <v>8425.990973590915</v>
      </c>
      <c r="Q558" s="215" cm="1">
        <f t="array" ref="Q558">IF(P558="-",0,P558/(1+'General inputs'!$H$32)^IFERROR(INDEX('MP Calculations'!$C$40:$C$130,MATCH(F558,'MP Calculations'!$D$40:$D$130,0),0),-1))</f>
        <v>9933.2614240180937</v>
      </c>
    </row>
    <row r="559" spans="3:17">
      <c r="C559" s="159"/>
      <c r="D559" s="165" t="s">
        <v>281</v>
      </c>
      <c r="E559" s="161">
        <v>43601</v>
      </c>
      <c r="F559" s="172" t="str">
        <f t="shared" si="27"/>
        <v>2018-19</v>
      </c>
      <c r="G559" s="68"/>
      <c r="H559" s="167" t="s">
        <v>293</v>
      </c>
      <c r="I559" s="173">
        <v>20414.77563211487</v>
      </c>
      <c r="J559" s="168">
        <f>IFERROR(MIN('MP Calculations'!$E$30/I559,1),"-")</f>
        <v>0.40513348981719682</v>
      </c>
      <c r="K559" s="12"/>
      <c r="L559" s="159">
        <v>23.391226</v>
      </c>
      <c r="M559" s="159" t="s">
        <v>294</v>
      </c>
      <c r="N559" s="159">
        <v>350</v>
      </c>
      <c r="O559" s="185">
        <f t="shared" si="29"/>
        <v>8186.9291000000003</v>
      </c>
      <c r="P559" s="215">
        <f t="shared" si="28"/>
        <v>3316.7991571689627</v>
      </c>
      <c r="Q559" s="215" cm="1">
        <f t="array" ref="Q559">IF(P559="-",0,P559/(1+'General inputs'!$H$32)^IFERROR(INDEX('MP Calculations'!$C$40:$C$130,MATCH(F559,'MP Calculations'!$D$40:$D$130,0),0),-1))</f>
        <v>3910.1196787873218</v>
      </c>
    </row>
    <row r="560" spans="3:17">
      <c r="C560" s="159"/>
      <c r="D560" s="165" t="s">
        <v>281</v>
      </c>
      <c r="E560" s="161">
        <v>43601</v>
      </c>
      <c r="F560" s="172" t="str">
        <f t="shared" si="27"/>
        <v>2018-19</v>
      </c>
      <c r="G560" s="68"/>
      <c r="H560" s="167" t="s">
        <v>293</v>
      </c>
      <c r="I560" s="173">
        <v>20414.77563211487</v>
      </c>
      <c r="J560" s="168">
        <f>IFERROR(MIN('MP Calculations'!$E$30/I560,1),"-")</f>
        <v>0.40513348981719682</v>
      </c>
      <c r="K560" s="12"/>
      <c r="L560" s="159">
        <v>25.433458999999999</v>
      </c>
      <c r="M560" s="159" t="s">
        <v>294</v>
      </c>
      <c r="N560" s="159">
        <v>350</v>
      </c>
      <c r="O560" s="185">
        <f t="shared" si="29"/>
        <v>8901.7106499999991</v>
      </c>
      <c r="P560" s="215">
        <f t="shared" si="28"/>
        <v>3606.3811009774072</v>
      </c>
      <c r="Q560" s="215" cm="1">
        <f t="array" ref="Q560">IF(P560="-",0,P560/(1+'General inputs'!$H$32)^IFERROR(INDEX('MP Calculations'!$C$40:$C$130,MATCH(F560,'MP Calculations'!$D$40:$D$130,0),0),-1))</f>
        <v>4251.5030437280411</v>
      </c>
    </row>
    <row r="561" spans="3:17">
      <c r="C561" s="159"/>
      <c r="D561" s="165" t="s">
        <v>281</v>
      </c>
      <c r="E561" s="161">
        <v>43601</v>
      </c>
      <c r="F561" s="172" t="str">
        <f t="shared" si="27"/>
        <v>2018-19</v>
      </c>
      <c r="G561" s="68"/>
      <c r="H561" s="167" t="s">
        <v>293</v>
      </c>
      <c r="I561" s="173">
        <v>20414.77563211487</v>
      </c>
      <c r="J561" s="168">
        <f>IFERROR(MIN('MP Calculations'!$E$30/I561,1),"-")</f>
        <v>0.40513348981719682</v>
      </c>
      <c r="K561" s="12"/>
      <c r="L561" s="159">
        <v>2.4444330000000001</v>
      </c>
      <c r="M561" s="159" t="s">
        <v>294</v>
      </c>
      <c r="N561" s="159">
        <v>350</v>
      </c>
      <c r="O561" s="185">
        <f t="shared" si="29"/>
        <v>855.55155000000002</v>
      </c>
      <c r="P561" s="215">
        <f t="shared" si="28"/>
        <v>346.61258517001198</v>
      </c>
      <c r="Q561" s="215" cm="1">
        <f t="array" ref="Q561">IF(P561="-",0,P561/(1+'General inputs'!$H$32)^IFERROR(INDEX('MP Calculations'!$C$40:$C$130,MATCH(F561,'MP Calculations'!$D$40:$D$130,0),0),-1))</f>
        <v>408.61584496584868</v>
      </c>
    </row>
    <row r="562" spans="3:17">
      <c r="C562" s="159"/>
      <c r="D562" s="165" t="s">
        <v>281</v>
      </c>
      <c r="E562" s="161">
        <v>43601</v>
      </c>
      <c r="F562" s="172" t="str">
        <f t="shared" si="27"/>
        <v>2018-19</v>
      </c>
      <c r="G562" s="68"/>
      <c r="H562" s="167" t="s">
        <v>293</v>
      </c>
      <c r="I562" s="173">
        <v>20414.77563211487</v>
      </c>
      <c r="J562" s="168">
        <f>IFERROR(MIN('MP Calculations'!$E$30/I562,1),"-")</f>
        <v>0.40513348981719682</v>
      </c>
      <c r="K562" s="12"/>
      <c r="L562" s="159">
        <v>0.179705</v>
      </c>
      <c r="M562" s="159" t="s">
        <v>294</v>
      </c>
      <c r="N562" s="159">
        <v>350</v>
      </c>
      <c r="O562" s="185">
        <f t="shared" si="29"/>
        <v>62.896750000000004</v>
      </c>
      <c r="P562" s="215">
        <f t="shared" si="28"/>
        <v>25.481579825659775</v>
      </c>
      <c r="Q562" s="215" cm="1">
        <f t="array" ref="Q562">IF(P562="-",0,P562/(1+'General inputs'!$H$32)^IFERROR(INDEX('MP Calculations'!$C$40:$C$130,MATCH(F562,'MP Calculations'!$D$40:$D$130,0),0),-1))</f>
        <v>30.039813085319924</v>
      </c>
    </row>
    <row r="563" spans="3:17">
      <c r="C563" s="159"/>
      <c r="D563" s="165" t="s">
        <v>281</v>
      </c>
      <c r="E563" s="161">
        <v>43601</v>
      </c>
      <c r="F563" s="172" t="str">
        <f t="shared" si="27"/>
        <v>2018-19</v>
      </c>
      <c r="G563" s="68"/>
      <c r="H563" s="167" t="s">
        <v>293</v>
      </c>
      <c r="I563" s="173">
        <v>20414.77563211487</v>
      </c>
      <c r="J563" s="168">
        <f>IFERROR(MIN('MP Calculations'!$E$30/I563,1),"-")</f>
        <v>0.40513348981719682</v>
      </c>
      <c r="K563" s="12"/>
      <c r="L563" s="159">
        <v>6.6627929999999997</v>
      </c>
      <c r="M563" s="159" t="s">
        <v>294</v>
      </c>
      <c r="N563" s="159">
        <v>350</v>
      </c>
      <c r="O563" s="185">
        <f t="shared" si="29"/>
        <v>2331.9775500000001</v>
      </c>
      <c r="P563" s="215">
        <f t="shared" si="28"/>
        <v>944.76220300685657</v>
      </c>
      <c r="Q563" s="215" cm="1">
        <f t="array" ref="Q563">IF(P563="-",0,P563/(1+'General inputs'!$H$32)^IFERROR(INDEX('MP Calculations'!$C$40:$C$130,MATCH(F563,'MP Calculations'!$D$40:$D$130,0),0),-1))</f>
        <v>1113.7645382497869</v>
      </c>
    </row>
    <row r="564" spans="3:17">
      <c r="C564" s="159"/>
      <c r="D564" s="165" t="s">
        <v>281</v>
      </c>
      <c r="E564" s="161">
        <v>43601</v>
      </c>
      <c r="F564" s="172" t="str">
        <f t="shared" si="27"/>
        <v>2018-19</v>
      </c>
      <c r="G564" s="68"/>
      <c r="H564" s="167" t="s">
        <v>293</v>
      </c>
      <c r="I564" s="173">
        <v>20414.77563211487</v>
      </c>
      <c r="J564" s="168">
        <f>IFERROR(MIN('MP Calculations'!$E$30/I564,1),"-")</f>
        <v>0.40513348981719682</v>
      </c>
      <c r="K564" s="12"/>
      <c r="L564" s="159">
        <v>0.72284999999999999</v>
      </c>
      <c r="M564" s="159" t="s">
        <v>294</v>
      </c>
      <c r="N564" s="159">
        <v>350</v>
      </c>
      <c r="O564" s="185">
        <f t="shared" si="29"/>
        <v>252.9975</v>
      </c>
      <c r="P564" s="215">
        <f t="shared" si="28"/>
        <v>102.49776009002625</v>
      </c>
      <c r="Q564" s="215" cm="1">
        <f t="array" ref="Q564">IF(P564="-",0,P564/(1+'General inputs'!$H$32)^IFERROR(INDEX('MP Calculations'!$C$40:$C$130,MATCH(F564,'MP Calculations'!$D$40:$D$130,0),0),-1))</f>
        <v>120.83291443601182</v>
      </c>
    </row>
    <row r="565" spans="3:17">
      <c r="C565" s="159"/>
      <c r="D565" s="165" t="s">
        <v>281</v>
      </c>
      <c r="E565" s="161">
        <v>43601</v>
      </c>
      <c r="F565" s="172" t="str">
        <f t="shared" si="27"/>
        <v>2018-19</v>
      </c>
      <c r="G565" s="68"/>
      <c r="H565" s="167" t="s">
        <v>293</v>
      </c>
      <c r="I565" s="173">
        <v>20414.77563211487</v>
      </c>
      <c r="J565" s="168">
        <f>IFERROR(MIN('MP Calculations'!$E$30/I565,1),"-")</f>
        <v>0.40513348981719682</v>
      </c>
      <c r="K565" s="12"/>
      <c r="L565" s="159">
        <v>18.081499000000001</v>
      </c>
      <c r="M565" s="159" t="s">
        <v>294</v>
      </c>
      <c r="N565" s="159">
        <v>350</v>
      </c>
      <c r="O565" s="185">
        <f t="shared" si="29"/>
        <v>6328.5246500000003</v>
      </c>
      <c r="P565" s="215">
        <f t="shared" si="28"/>
        <v>2563.8972768486542</v>
      </c>
      <c r="Q565" s="215" cm="1">
        <f t="array" ref="Q565">IF(P565="-",0,P565/(1+'General inputs'!$H$32)^IFERROR(INDEX('MP Calculations'!$C$40:$C$130,MATCH(F565,'MP Calculations'!$D$40:$D$130,0),0),-1))</f>
        <v>3022.5361022920847</v>
      </c>
    </row>
    <row r="566" spans="3:17">
      <c r="C566" s="159"/>
      <c r="D566" s="165" t="s">
        <v>281</v>
      </c>
      <c r="E566" s="161">
        <v>43601</v>
      </c>
      <c r="F566" s="172" t="str">
        <f t="shared" si="27"/>
        <v>2018-19</v>
      </c>
      <c r="G566" s="68"/>
      <c r="H566" s="167" t="s">
        <v>293</v>
      </c>
      <c r="I566" s="173">
        <v>20414.77563211487</v>
      </c>
      <c r="J566" s="168">
        <f>IFERROR(MIN('MP Calculations'!$E$30/I566,1),"-")</f>
        <v>0.40513348981719682</v>
      </c>
      <c r="K566" s="12"/>
      <c r="L566" s="159">
        <v>21.637274999999999</v>
      </c>
      <c r="M566" s="159" t="s">
        <v>294</v>
      </c>
      <c r="N566" s="159">
        <v>350</v>
      </c>
      <c r="O566" s="185">
        <f t="shared" si="29"/>
        <v>7573.0462499999994</v>
      </c>
      <c r="P566" s="215">
        <f t="shared" si="28"/>
        <v>3068.0946558095352</v>
      </c>
      <c r="Q566" s="215" cm="1">
        <f t="array" ref="Q566">IF(P566="-",0,P566/(1+'General inputs'!$H$32)^IFERROR(INDEX('MP Calculations'!$C$40:$C$130,MATCH(F566,'MP Calculations'!$D$40:$D$130,0),0),-1))</f>
        <v>3616.926054787933</v>
      </c>
    </row>
    <row r="567" spans="3:17">
      <c r="C567" s="159"/>
      <c r="D567" s="165" t="s">
        <v>281</v>
      </c>
      <c r="E567" s="161">
        <v>43601</v>
      </c>
      <c r="F567" s="172" t="str">
        <f t="shared" si="27"/>
        <v>2018-19</v>
      </c>
      <c r="G567" s="68"/>
      <c r="H567" s="167" t="s">
        <v>293</v>
      </c>
      <c r="I567" s="173">
        <v>20414.77563211487</v>
      </c>
      <c r="J567" s="168">
        <f>IFERROR(MIN('MP Calculations'!$E$30/I567,1),"-")</f>
        <v>0.40513348981719682</v>
      </c>
      <c r="K567" s="12"/>
      <c r="L567" s="159">
        <v>0.71560500000000005</v>
      </c>
      <c r="M567" s="159" t="s">
        <v>294</v>
      </c>
      <c r="N567" s="159">
        <v>350</v>
      </c>
      <c r="O567" s="185">
        <f t="shared" si="29"/>
        <v>250.46175000000002</v>
      </c>
      <c r="P567" s="215">
        <f t="shared" si="28"/>
        <v>101.4704428432223</v>
      </c>
      <c r="Q567" s="215" cm="1">
        <f t="array" ref="Q567">IF(P567="-",0,P567/(1+'General inputs'!$H$32)^IFERROR(INDEX('MP Calculations'!$C$40:$C$130,MATCH(F567,'MP Calculations'!$D$40:$D$130,0),0),-1))</f>
        <v>119.62182712178495</v>
      </c>
    </row>
    <row r="568" spans="3:17">
      <c r="C568" s="159"/>
      <c r="D568" s="165" t="s">
        <v>281</v>
      </c>
      <c r="E568" s="161">
        <v>43601</v>
      </c>
      <c r="F568" s="172" t="str">
        <f t="shared" si="27"/>
        <v>2018-19</v>
      </c>
      <c r="G568" s="68"/>
      <c r="H568" s="167" t="s">
        <v>293</v>
      </c>
      <c r="I568" s="173">
        <v>20414.77563211487</v>
      </c>
      <c r="J568" s="168">
        <f>IFERROR(MIN('MP Calculations'!$E$30/I568,1),"-")</f>
        <v>0.40513348981719682</v>
      </c>
      <c r="K568" s="12"/>
      <c r="L568" s="159">
        <v>16.211682</v>
      </c>
      <c r="M568" s="159" t="s">
        <v>294</v>
      </c>
      <c r="N568" s="159">
        <v>350</v>
      </c>
      <c r="O568" s="185">
        <f t="shared" si="29"/>
        <v>5674.0887000000002</v>
      </c>
      <c r="P568" s="215">
        <f t="shared" si="28"/>
        <v>2298.7633565633218</v>
      </c>
      <c r="Q568" s="215" cm="1">
        <f t="array" ref="Q568">IF(P568="-",0,P568/(1+'General inputs'!$H$32)^IFERROR(INDEX('MP Calculations'!$C$40:$C$130,MATCH(F568,'MP Calculations'!$D$40:$D$130,0),0),-1))</f>
        <v>2709.974108002813</v>
      </c>
    </row>
    <row r="569" spans="3:17">
      <c r="C569" s="159"/>
      <c r="D569" s="165" t="s">
        <v>281</v>
      </c>
      <c r="E569" s="161">
        <v>43601</v>
      </c>
      <c r="F569" s="172" t="str">
        <f t="shared" si="27"/>
        <v>2018-19</v>
      </c>
      <c r="G569" s="68"/>
      <c r="H569" s="167" t="s">
        <v>293</v>
      </c>
      <c r="I569" s="173">
        <v>20414.77563211487</v>
      </c>
      <c r="J569" s="168">
        <f>IFERROR(MIN('MP Calculations'!$E$30/I569,1),"-")</f>
        <v>0.40513348981719682</v>
      </c>
      <c r="K569" s="12"/>
      <c r="L569" s="159">
        <v>0.65346000000000004</v>
      </c>
      <c r="M569" s="159" t="s">
        <v>294</v>
      </c>
      <c r="N569" s="159">
        <v>350</v>
      </c>
      <c r="O569" s="185">
        <f t="shared" si="29"/>
        <v>228.71100000000001</v>
      </c>
      <c r="P569" s="215">
        <f t="shared" si="28"/>
        <v>92.658485589580906</v>
      </c>
      <c r="Q569" s="215" cm="1">
        <f t="array" ref="Q569">IF(P569="-",0,P569/(1+'General inputs'!$H$32)^IFERROR(INDEX('MP Calculations'!$C$40:$C$130,MATCH(F569,'MP Calculations'!$D$40:$D$130,0),0),-1))</f>
        <v>109.23355643267108</v>
      </c>
    </row>
    <row r="570" spans="3:17">
      <c r="C570" s="159"/>
      <c r="D570" s="165" t="s">
        <v>281</v>
      </c>
      <c r="E570" s="161">
        <v>43601</v>
      </c>
      <c r="F570" s="172" t="str">
        <f t="shared" si="27"/>
        <v>2018-19</v>
      </c>
      <c r="G570" s="68"/>
      <c r="H570" s="167" t="s">
        <v>293</v>
      </c>
      <c r="I570" s="173">
        <v>20414.77563211487</v>
      </c>
      <c r="J570" s="168">
        <f>IFERROR(MIN('MP Calculations'!$E$30/I570,1),"-")</f>
        <v>0.40513348981719682</v>
      </c>
      <c r="K570" s="12"/>
      <c r="L570" s="159">
        <v>58.475912999999998</v>
      </c>
      <c r="M570" s="159" t="s">
        <v>294</v>
      </c>
      <c r="N570" s="159">
        <v>350</v>
      </c>
      <c r="O570" s="185">
        <f t="shared" si="29"/>
        <v>20466.56955</v>
      </c>
      <c r="P570" s="215">
        <f t="shared" si="28"/>
        <v>8291.6927463778757</v>
      </c>
      <c r="Q570" s="215" cm="1">
        <f t="array" ref="Q570">IF(P570="-",0,P570/(1+'General inputs'!$H$32)^IFERROR(INDEX('MP Calculations'!$C$40:$C$130,MATCH(F570,'MP Calculations'!$D$40:$D$130,0),0),-1))</f>
        <v>9774.9394647529534</v>
      </c>
    </row>
    <row r="571" spans="3:17">
      <c r="C571" s="159"/>
      <c r="D571" s="165" t="s">
        <v>281</v>
      </c>
      <c r="E571" s="161">
        <v>43601</v>
      </c>
      <c r="F571" s="172" t="str">
        <f t="shared" si="27"/>
        <v>2018-19</v>
      </c>
      <c r="G571" s="68"/>
      <c r="H571" s="167" t="s">
        <v>293</v>
      </c>
      <c r="I571" s="173">
        <v>20414.77563211487</v>
      </c>
      <c r="J571" s="168">
        <f>IFERROR(MIN('MP Calculations'!$E$30/I571,1),"-")</f>
        <v>0.40513348981719682</v>
      </c>
      <c r="K571" s="12"/>
      <c r="L571" s="159">
        <v>85.630561</v>
      </c>
      <c r="M571" s="159" t="s">
        <v>294</v>
      </c>
      <c r="N571" s="159">
        <v>350</v>
      </c>
      <c r="O571" s="185">
        <f t="shared" si="29"/>
        <v>29970.696349999998</v>
      </c>
      <c r="P571" s="215">
        <f t="shared" si="28"/>
        <v>12142.132804527022</v>
      </c>
      <c r="Q571" s="215" cm="1">
        <f t="array" ref="Q571">IF(P571="-",0,P571/(1+'General inputs'!$H$32)^IFERROR(INDEX('MP Calculations'!$C$40:$C$130,MATCH(F571,'MP Calculations'!$D$40:$D$130,0),0),-1))</f>
        <v>14314.159577257647</v>
      </c>
    </row>
    <row r="572" spans="3:17">
      <c r="C572" s="159"/>
      <c r="D572" s="165" t="s">
        <v>281</v>
      </c>
      <c r="E572" s="161">
        <v>43601</v>
      </c>
      <c r="F572" s="172" t="str">
        <f t="shared" si="27"/>
        <v>2018-19</v>
      </c>
      <c r="G572" s="68"/>
      <c r="H572" s="167" t="s">
        <v>293</v>
      </c>
      <c r="I572" s="173">
        <v>20414.77563211487</v>
      </c>
      <c r="J572" s="168">
        <f>IFERROR(MIN('MP Calculations'!$E$30/I572,1),"-")</f>
        <v>0.40513348981719682</v>
      </c>
      <c r="K572" s="12"/>
      <c r="L572" s="159">
        <v>54.570141</v>
      </c>
      <c r="M572" s="159" t="s">
        <v>294</v>
      </c>
      <c r="N572" s="159">
        <v>350</v>
      </c>
      <c r="O572" s="185">
        <f t="shared" si="29"/>
        <v>19099.549350000001</v>
      </c>
      <c r="P572" s="215">
        <f t="shared" si="28"/>
        <v>7737.8670821012738</v>
      </c>
      <c r="Q572" s="215" cm="1">
        <f t="array" ref="Q572">IF(P572="-",0,P572/(1+'General inputs'!$H$32)^IFERROR(INDEX('MP Calculations'!$C$40:$C$130,MATCH(F572,'MP Calculations'!$D$40:$D$130,0),0),-1))</f>
        <v>9122.0435473668131</v>
      </c>
    </row>
    <row r="573" spans="3:17">
      <c r="C573" s="159"/>
      <c r="D573" s="165" t="s">
        <v>281</v>
      </c>
      <c r="E573" s="161">
        <v>43601</v>
      </c>
      <c r="F573" s="172" t="str">
        <f t="shared" si="27"/>
        <v>2018-19</v>
      </c>
      <c r="G573" s="68"/>
      <c r="H573" s="167" t="s">
        <v>293</v>
      </c>
      <c r="I573" s="173">
        <v>20414.77563211487</v>
      </c>
      <c r="J573" s="168">
        <f>IFERROR(MIN('MP Calculations'!$E$30/I573,1),"-")</f>
        <v>0.40513348981719682</v>
      </c>
      <c r="K573" s="12"/>
      <c r="L573" s="159">
        <v>1.1828289999999999</v>
      </c>
      <c r="M573" s="159" t="s">
        <v>294</v>
      </c>
      <c r="N573" s="159">
        <v>350</v>
      </c>
      <c r="O573" s="185">
        <f t="shared" si="29"/>
        <v>413.99014999999997</v>
      </c>
      <c r="P573" s="215">
        <f t="shared" si="28"/>
        <v>167.72127421944478</v>
      </c>
      <c r="Q573" s="215" cm="1">
        <f t="array" ref="Q573">IF(P573="-",0,P573/(1+'General inputs'!$H$32)^IFERROR(INDEX('MP Calculations'!$C$40:$C$130,MATCH(F573,'MP Calculations'!$D$40:$D$130,0),0),-1))</f>
        <v>197.72383668732576</v>
      </c>
    </row>
    <row r="574" spans="3:17">
      <c r="C574" s="159"/>
      <c r="D574" s="165" t="s">
        <v>281</v>
      </c>
      <c r="E574" s="161">
        <v>43601</v>
      </c>
      <c r="F574" s="172" t="str">
        <f t="shared" si="27"/>
        <v>2018-19</v>
      </c>
      <c r="G574" s="68"/>
      <c r="H574" s="167" t="s">
        <v>293</v>
      </c>
      <c r="I574" s="173">
        <v>20414.77563211487</v>
      </c>
      <c r="J574" s="168">
        <f>IFERROR(MIN('MP Calculations'!$E$30/I574,1),"-")</f>
        <v>0.40513348981719682</v>
      </c>
      <c r="K574" s="12"/>
      <c r="L574" s="159">
        <v>34.771667000000001</v>
      </c>
      <c r="M574" s="159" t="s">
        <v>294</v>
      </c>
      <c r="N574" s="159">
        <v>350</v>
      </c>
      <c r="O574" s="185">
        <f t="shared" si="29"/>
        <v>12170.08345</v>
      </c>
      <c r="P574" s="215">
        <f t="shared" si="28"/>
        <v>4930.5083794650109</v>
      </c>
      <c r="Q574" s="215" cm="1">
        <f t="array" ref="Q574">IF(P574="-",0,P574/(1+'General inputs'!$H$32)^IFERROR(INDEX('MP Calculations'!$C$40:$C$130,MATCH(F574,'MP Calculations'!$D$40:$D$130,0),0),-1))</f>
        <v>5812.4947961658663</v>
      </c>
    </row>
    <row r="575" spans="3:17">
      <c r="C575" s="159"/>
      <c r="D575" s="165" t="s">
        <v>281</v>
      </c>
      <c r="E575" s="161">
        <v>43601</v>
      </c>
      <c r="F575" s="172" t="str">
        <f t="shared" si="27"/>
        <v>2018-19</v>
      </c>
      <c r="G575" s="68"/>
      <c r="H575" s="167" t="s">
        <v>293</v>
      </c>
      <c r="I575" s="173">
        <v>20414.77563211487</v>
      </c>
      <c r="J575" s="168">
        <f>IFERROR(MIN('MP Calculations'!$E$30/I575,1),"-")</f>
        <v>0.40513348981719682</v>
      </c>
      <c r="K575" s="12"/>
      <c r="L575" s="159">
        <v>60.081440000000001</v>
      </c>
      <c r="M575" s="159" t="s">
        <v>294</v>
      </c>
      <c r="N575" s="159">
        <v>350</v>
      </c>
      <c r="O575" s="185">
        <f t="shared" si="29"/>
        <v>21028.504000000001</v>
      </c>
      <c r="P575" s="215">
        <f t="shared" si="28"/>
        <v>8519.3512111548825</v>
      </c>
      <c r="Q575" s="215" cm="1">
        <f t="array" ref="Q575">IF(P575="-",0,P575/(1+'General inputs'!$H$32)^IFERROR(INDEX('MP Calculations'!$C$40:$C$130,MATCH(F575,'MP Calculations'!$D$40:$D$130,0),0),-1))</f>
        <v>10043.322264248984</v>
      </c>
    </row>
    <row r="576" spans="3:17">
      <c r="C576" s="159"/>
      <c r="D576" s="165" t="s">
        <v>281</v>
      </c>
      <c r="E576" s="161">
        <v>43601</v>
      </c>
      <c r="F576" s="172" t="str">
        <f t="shared" si="27"/>
        <v>2018-19</v>
      </c>
      <c r="G576" s="68"/>
      <c r="H576" s="167" t="s">
        <v>293</v>
      </c>
      <c r="I576" s="173">
        <v>20414.77563211487</v>
      </c>
      <c r="J576" s="168">
        <f>IFERROR(MIN('MP Calculations'!$E$30/I576,1),"-")</f>
        <v>0.40513348981719682</v>
      </c>
      <c r="K576" s="12"/>
      <c r="L576" s="159">
        <v>4.5887849999999997</v>
      </c>
      <c r="M576" s="159" t="s">
        <v>294</v>
      </c>
      <c r="N576" s="159">
        <v>350</v>
      </c>
      <c r="O576" s="185">
        <f t="shared" si="29"/>
        <v>1606.07475</v>
      </c>
      <c r="P576" s="215">
        <f t="shared" si="28"/>
        <v>650.67466837478196</v>
      </c>
      <c r="Q576" s="215" cm="1">
        <f t="array" ref="Q576">IF(P576="-",0,P576/(1+'General inputs'!$H$32)^IFERROR(INDEX('MP Calculations'!$C$40:$C$130,MATCH(F576,'MP Calculations'!$D$40:$D$130,0),0),-1))</f>
        <v>767.06960679290944</v>
      </c>
    </row>
    <row r="577" spans="3:17">
      <c r="C577" s="159"/>
      <c r="D577" s="165" t="s">
        <v>281</v>
      </c>
      <c r="E577" s="161">
        <v>43601</v>
      </c>
      <c r="F577" s="172" t="str">
        <f t="shared" si="27"/>
        <v>2018-19</v>
      </c>
      <c r="G577" s="68"/>
      <c r="H577" s="167" t="s">
        <v>293</v>
      </c>
      <c r="I577" s="173">
        <v>20414.77563211487</v>
      </c>
      <c r="J577" s="168">
        <f>IFERROR(MIN('MP Calculations'!$E$30/I577,1),"-")</f>
        <v>0.40513348981719682</v>
      </c>
      <c r="K577" s="12"/>
      <c r="L577" s="159">
        <v>1.056826</v>
      </c>
      <c r="M577" s="159" t="s">
        <v>294</v>
      </c>
      <c r="N577" s="159">
        <v>350</v>
      </c>
      <c r="O577" s="185">
        <f t="shared" si="29"/>
        <v>369.88910000000004</v>
      </c>
      <c r="P577" s="215">
        <f t="shared" si="28"/>
        <v>149.85446192834212</v>
      </c>
      <c r="Q577" s="215" cm="1">
        <f t="array" ref="Q577">IF(P577="-",0,P577/(1+'General inputs'!$H$32)^IFERROR(INDEX('MP Calculations'!$C$40:$C$130,MATCH(F577,'MP Calculations'!$D$40:$D$130,0),0),-1))</f>
        <v>176.66094712838438</v>
      </c>
    </row>
    <row r="578" spans="3:17">
      <c r="C578" s="159"/>
      <c r="D578" s="165" t="s">
        <v>281</v>
      </c>
      <c r="E578" s="161">
        <v>43601</v>
      </c>
      <c r="F578" s="172" t="str">
        <f t="shared" si="27"/>
        <v>2018-19</v>
      </c>
      <c r="G578" s="68"/>
      <c r="H578" s="167" t="s">
        <v>293</v>
      </c>
      <c r="I578" s="173">
        <v>20414.77563211487</v>
      </c>
      <c r="J578" s="168">
        <f>IFERROR(MIN('MP Calculations'!$E$30/I578,1),"-")</f>
        <v>0.40513348981719682</v>
      </c>
      <c r="K578" s="12"/>
      <c r="L578" s="159">
        <v>24.517713000000001</v>
      </c>
      <c r="M578" s="159" t="s">
        <v>294</v>
      </c>
      <c r="N578" s="159">
        <v>350</v>
      </c>
      <c r="O578" s="185">
        <f t="shared" si="29"/>
        <v>8581.1995499999994</v>
      </c>
      <c r="P578" s="215">
        <f t="shared" si="28"/>
        <v>3476.5313205092589</v>
      </c>
      <c r="Q578" s="215" cm="1">
        <f t="array" ref="Q578">IF(P578="-",0,P578/(1+'General inputs'!$H$32)^IFERROR(INDEX('MP Calculations'!$C$40:$C$130,MATCH(F578,'MP Calculations'!$D$40:$D$130,0),0),-1))</f>
        <v>4098.4252847695852</v>
      </c>
    </row>
    <row r="579" spans="3:17">
      <c r="C579" s="159"/>
      <c r="D579" s="165" t="s">
        <v>281</v>
      </c>
      <c r="E579" s="161">
        <v>43601</v>
      </c>
      <c r="F579" s="172" t="str">
        <f t="shared" si="27"/>
        <v>2018-19</v>
      </c>
      <c r="G579" s="68"/>
      <c r="H579" s="167" t="s">
        <v>293</v>
      </c>
      <c r="I579" s="173">
        <v>20414.77563211487</v>
      </c>
      <c r="J579" s="168">
        <f>IFERROR(MIN('MP Calculations'!$E$30/I579,1),"-")</f>
        <v>0.40513348981719682</v>
      </c>
      <c r="K579" s="12"/>
      <c r="L579" s="159">
        <v>0.49111399999999999</v>
      </c>
      <c r="M579" s="159" t="s">
        <v>294</v>
      </c>
      <c r="N579" s="159">
        <v>350</v>
      </c>
      <c r="O579" s="185">
        <f t="shared" si="29"/>
        <v>171.88990000000001</v>
      </c>
      <c r="P579" s="215">
        <f t="shared" si="28"/>
        <v>69.638355051328986</v>
      </c>
      <c r="Q579" s="215" cm="1">
        <f t="array" ref="Q579">IF(P579="-",0,P579/(1+'General inputs'!$H$32)^IFERROR(INDEX('MP Calculations'!$C$40:$C$130,MATCH(F579,'MP Calculations'!$D$40:$D$130,0),0),-1))</f>
        <v>82.095505209002582</v>
      </c>
    </row>
    <row r="580" spans="3:17">
      <c r="C580" s="159"/>
      <c r="D580" s="165" t="s">
        <v>281</v>
      </c>
      <c r="E580" s="161">
        <v>43601</v>
      </c>
      <c r="F580" s="172" t="str">
        <f t="shared" si="27"/>
        <v>2018-19</v>
      </c>
      <c r="G580" s="68"/>
      <c r="H580" s="167" t="s">
        <v>293</v>
      </c>
      <c r="I580" s="173">
        <v>20414.77563211487</v>
      </c>
      <c r="J580" s="168">
        <f>IFERROR(MIN('MP Calculations'!$E$30/I580,1),"-")</f>
        <v>0.40513348981719682</v>
      </c>
      <c r="K580" s="12"/>
      <c r="L580" s="159">
        <v>6.5393340000000002</v>
      </c>
      <c r="M580" s="159" t="s">
        <v>294</v>
      </c>
      <c r="N580" s="159">
        <v>350</v>
      </c>
      <c r="O580" s="185">
        <f t="shared" si="29"/>
        <v>2288.7669000000001</v>
      </c>
      <c r="P580" s="215">
        <f t="shared" si="28"/>
        <v>927.25612157508715</v>
      </c>
      <c r="Q580" s="215" cm="1">
        <f t="array" ref="Q580">IF(P580="-",0,P580/(1+'General inputs'!$H$32)^IFERROR(INDEX('MP Calculations'!$C$40:$C$130,MATCH(F580,'MP Calculations'!$D$40:$D$130,0),0),-1))</f>
        <v>1093.1269083357583</v>
      </c>
    </row>
    <row r="581" spans="3:17">
      <c r="C581" s="159"/>
      <c r="D581" s="165" t="s">
        <v>281</v>
      </c>
      <c r="E581" s="161">
        <v>43601</v>
      </c>
      <c r="F581" s="172" t="str">
        <f t="shared" si="27"/>
        <v>2018-19</v>
      </c>
      <c r="G581" s="68"/>
      <c r="H581" s="167" t="s">
        <v>293</v>
      </c>
      <c r="I581" s="173">
        <v>20414.77563211487</v>
      </c>
      <c r="J581" s="168">
        <f>IFERROR(MIN('MP Calculations'!$E$30/I581,1),"-")</f>
        <v>0.40513348981719682</v>
      </c>
      <c r="K581" s="12"/>
      <c r="L581" s="159">
        <v>35.856484000000002</v>
      </c>
      <c r="M581" s="159" t="s">
        <v>294</v>
      </c>
      <c r="N581" s="159">
        <v>350</v>
      </c>
      <c r="O581" s="185">
        <f t="shared" si="29"/>
        <v>12549.769400000001</v>
      </c>
      <c r="P581" s="215">
        <f t="shared" si="28"/>
        <v>5084.3318734230688</v>
      </c>
      <c r="Q581" s="215" cm="1">
        <f t="array" ref="Q581">IF(P581="-",0,P581/(1+'General inputs'!$H$32)^IFERROR(INDEX('MP Calculations'!$C$40:$C$130,MATCH(F581,'MP Calculations'!$D$40:$D$130,0),0),-1))</f>
        <v>5993.8347695209623</v>
      </c>
    </row>
    <row r="582" spans="3:17">
      <c r="C582" s="159"/>
      <c r="D582" s="165" t="s">
        <v>281</v>
      </c>
      <c r="E582" s="161">
        <v>43601</v>
      </c>
      <c r="F582" s="172" t="str">
        <f t="shared" si="27"/>
        <v>2018-19</v>
      </c>
      <c r="G582" s="68"/>
      <c r="H582" s="167" t="s">
        <v>293</v>
      </c>
      <c r="I582" s="173">
        <v>20414.77563211487</v>
      </c>
      <c r="J582" s="168">
        <f>IFERROR(MIN('MP Calculations'!$E$30/I582,1),"-")</f>
        <v>0.40513348981719682</v>
      </c>
      <c r="K582" s="12"/>
      <c r="L582" s="159">
        <v>2.63022</v>
      </c>
      <c r="M582" s="159" t="s">
        <v>294</v>
      </c>
      <c r="N582" s="159">
        <v>350</v>
      </c>
      <c r="O582" s="185">
        <f t="shared" si="29"/>
        <v>920.577</v>
      </c>
      <c r="P582" s="215">
        <f t="shared" si="28"/>
        <v>372.9565726554456</v>
      </c>
      <c r="Q582" s="215" cm="1">
        <f t="array" ref="Q582">IF(P582="-",0,P582/(1+'General inputs'!$H$32)^IFERROR(INDEX('MP Calculations'!$C$40:$C$130,MATCH(F582,'MP Calculations'!$D$40:$D$130,0),0),-1))</f>
        <v>439.67233618024073</v>
      </c>
    </row>
    <row r="583" spans="3:17">
      <c r="C583" s="159"/>
      <c r="D583" s="165" t="s">
        <v>281</v>
      </c>
      <c r="E583" s="161">
        <v>43601</v>
      </c>
      <c r="F583" s="172" t="str">
        <f t="shared" si="27"/>
        <v>2018-19</v>
      </c>
      <c r="G583" s="68"/>
      <c r="H583" s="167" t="s">
        <v>293</v>
      </c>
      <c r="I583" s="173">
        <v>20414.77563211487</v>
      </c>
      <c r="J583" s="168">
        <f>IFERROR(MIN('MP Calculations'!$E$30/I583,1),"-")</f>
        <v>0.40513348981719682</v>
      </c>
      <c r="K583" s="12"/>
      <c r="L583" s="159">
        <v>48.757634000000003</v>
      </c>
      <c r="M583" s="159" t="s">
        <v>294</v>
      </c>
      <c r="N583" s="159">
        <v>350</v>
      </c>
      <c r="O583" s="185">
        <f t="shared" si="29"/>
        <v>17065.171900000001</v>
      </c>
      <c r="P583" s="215">
        <f t="shared" si="28"/>
        <v>6913.6726461773642</v>
      </c>
      <c r="Q583" s="215" cm="1">
        <f t="array" ref="Q583">IF(P583="-",0,P583/(1+'General inputs'!$H$32)^IFERROR(INDEX('MP Calculations'!$C$40:$C$130,MATCH(F583,'MP Calculations'!$D$40:$D$130,0),0),-1))</f>
        <v>8150.4143559858639</v>
      </c>
    </row>
    <row r="584" spans="3:17">
      <c r="C584" s="159"/>
      <c r="D584" s="165" t="s">
        <v>281</v>
      </c>
      <c r="E584" s="161">
        <v>43601</v>
      </c>
      <c r="F584" s="172" t="str">
        <f t="shared" si="27"/>
        <v>2018-19</v>
      </c>
      <c r="G584" s="68"/>
      <c r="H584" s="167" t="s">
        <v>293</v>
      </c>
      <c r="I584" s="173">
        <v>20414.77563211487</v>
      </c>
      <c r="J584" s="168">
        <f>IFERROR(MIN('MP Calculations'!$E$30/I584,1),"-")</f>
        <v>0.40513348981719682</v>
      </c>
      <c r="K584" s="12"/>
      <c r="L584" s="159">
        <v>2.6005129999999999</v>
      </c>
      <c r="M584" s="159" t="s">
        <v>294</v>
      </c>
      <c r="N584" s="159">
        <v>350</v>
      </c>
      <c r="O584" s="185">
        <f t="shared" si="29"/>
        <v>910.17954999999995</v>
      </c>
      <c r="P584" s="215">
        <f t="shared" si="28"/>
        <v>368.74421745174578</v>
      </c>
      <c r="Q584" s="215" cm="1">
        <f t="array" ref="Q584">IF(P584="-",0,P584/(1+'General inputs'!$H$32)^IFERROR(INDEX('MP Calculations'!$C$40:$C$130,MATCH(F584,'MP Calculations'!$D$40:$D$130,0),0),-1))</f>
        <v>434.70646028738526</v>
      </c>
    </row>
    <row r="585" spans="3:17">
      <c r="C585" s="159"/>
      <c r="D585" s="165" t="s">
        <v>281</v>
      </c>
      <c r="E585" s="161">
        <v>43601</v>
      </c>
      <c r="F585" s="172" t="str">
        <f t="shared" si="27"/>
        <v>2018-19</v>
      </c>
      <c r="G585" s="68"/>
      <c r="H585" s="167" t="s">
        <v>293</v>
      </c>
      <c r="I585" s="173">
        <v>20414.77563211487</v>
      </c>
      <c r="J585" s="168">
        <f>IFERROR(MIN('MP Calculations'!$E$30/I585,1),"-")</f>
        <v>0.40513348981719682</v>
      </c>
      <c r="K585" s="12"/>
      <c r="L585" s="159">
        <v>44.060276000000002</v>
      </c>
      <c r="M585" s="159" t="s">
        <v>294</v>
      </c>
      <c r="N585" s="159">
        <v>350</v>
      </c>
      <c r="O585" s="185">
        <f t="shared" si="29"/>
        <v>15421.096600000001</v>
      </c>
      <c r="P585" s="215">
        <f t="shared" si="28"/>
        <v>6247.6026823661086</v>
      </c>
      <c r="Q585" s="215" cm="1">
        <f t="array" ref="Q585">IF(P585="-",0,P585/(1+'General inputs'!$H$32)^IFERROR(INDEX('MP Calculations'!$C$40:$C$130,MATCH(F585,'MP Calculations'!$D$40:$D$130,0),0),-1))</f>
        <v>7365.1954899841812</v>
      </c>
    </row>
    <row r="586" spans="3:17">
      <c r="C586" s="159"/>
      <c r="D586" s="165" t="s">
        <v>281</v>
      </c>
      <c r="E586" s="161">
        <v>43601</v>
      </c>
      <c r="F586" s="172" t="str">
        <f t="shared" si="27"/>
        <v>2018-19</v>
      </c>
      <c r="G586" s="68"/>
      <c r="H586" s="167" t="s">
        <v>293</v>
      </c>
      <c r="I586" s="173">
        <v>20414.77563211487</v>
      </c>
      <c r="J586" s="168">
        <f>IFERROR(MIN('MP Calculations'!$E$30/I586,1),"-")</f>
        <v>0.40513348981719682</v>
      </c>
      <c r="K586" s="12"/>
      <c r="L586" s="159">
        <v>2.7093950000000002</v>
      </c>
      <c r="M586" s="159" t="s">
        <v>294</v>
      </c>
      <c r="N586" s="159">
        <v>350</v>
      </c>
      <c r="O586" s="185">
        <f t="shared" si="29"/>
        <v>948.28825000000006</v>
      </c>
      <c r="P586" s="215">
        <f t="shared" si="28"/>
        <v>384.18332807514241</v>
      </c>
      <c r="Q586" s="215" cm="1">
        <f t="array" ref="Q586">IF(P586="-",0,P586/(1+'General inputs'!$H$32)^IFERROR(INDEX('MP Calculations'!$C$40:$C$130,MATCH(F586,'MP Calculations'!$D$40:$D$130,0),0),-1))</f>
        <v>452.90737249548079</v>
      </c>
    </row>
    <row r="587" spans="3:17">
      <c r="C587" s="159"/>
      <c r="D587" s="165" t="s">
        <v>281</v>
      </c>
      <c r="E587" s="161">
        <v>43601</v>
      </c>
      <c r="F587" s="172" t="str">
        <f t="shared" si="27"/>
        <v>2018-19</v>
      </c>
      <c r="G587" s="68"/>
      <c r="H587" s="167" t="s">
        <v>293</v>
      </c>
      <c r="I587" s="173">
        <v>20414.77563211487</v>
      </c>
      <c r="J587" s="168">
        <f>IFERROR(MIN('MP Calculations'!$E$30/I587,1),"-")</f>
        <v>0.40513348981719682</v>
      </c>
      <c r="K587" s="12"/>
      <c r="L587" s="159">
        <v>0.68222300000000002</v>
      </c>
      <c r="M587" s="159" t="s">
        <v>294</v>
      </c>
      <c r="N587" s="159">
        <v>350</v>
      </c>
      <c r="O587" s="185">
        <f t="shared" si="29"/>
        <v>238.77805000000001</v>
      </c>
      <c r="P587" s="215">
        <f t="shared" si="28"/>
        <v>96.736984688245116</v>
      </c>
      <c r="Q587" s="215" cm="1">
        <f t="array" ref="Q587">IF(P587="-",0,P587/(1+'General inputs'!$H$32)^IFERROR(INDEX('MP Calculations'!$C$40:$C$130,MATCH(F587,'MP Calculations'!$D$40:$D$130,0),0),-1))</f>
        <v>114.04163157678536</v>
      </c>
    </row>
    <row r="588" spans="3:17">
      <c r="C588" s="159"/>
      <c r="D588" s="165" t="s">
        <v>281</v>
      </c>
      <c r="E588" s="161">
        <v>43601</v>
      </c>
      <c r="F588" s="172" t="str">
        <f t="shared" si="27"/>
        <v>2018-19</v>
      </c>
      <c r="G588" s="68"/>
      <c r="H588" s="167" t="s">
        <v>293</v>
      </c>
      <c r="I588" s="173">
        <v>20414.77563211487</v>
      </c>
      <c r="J588" s="168">
        <f>IFERROR(MIN('MP Calculations'!$E$30/I588,1),"-")</f>
        <v>0.40513348981719682</v>
      </c>
      <c r="K588" s="12"/>
      <c r="L588" s="159">
        <v>0.33440799999999998</v>
      </c>
      <c r="M588" s="159" t="s">
        <v>294</v>
      </c>
      <c r="N588" s="159">
        <v>350</v>
      </c>
      <c r="O588" s="185">
        <f t="shared" si="29"/>
        <v>117.0428</v>
      </c>
      <c r="P588" s="215">
        <f t="shared" si="28"/>
        <v>47.417958021976204</v>
      </c>
      <c r="Q588" s="215" cm="1">
        <f t="array" ref="Q588">IF(P588="-",0,P588/(1+'General inputs'!$H$32)^IFERROR(INDEX('MP Calculations'!$C$40:$C$130,MATCH(F588,'MP Calculations'!$D$40:$D$130,0),0),-1))</f>
        <v>55.90024659433886</v>
      </c>
    </row>
    <row r="589" spans="3:17">
      <c r="C589" s="159"/>
      <c r="D589" s="165" t="s">
        <v>281</v>
      </c>
      <c r="E589" s="161">
        <v>43601</v>
      </c>
      <c r="F589" s="172" t="str">
        <f t="shared" si="27"/>
        <v>2018-19</v>
      </c>
      <c r="G589" s="68"/>
      <c r="H589" s="167" t="s">
        <v>293</v>
      </c>
      <c r="I589" s="173">
        <v>20414.77563211487</v>
      </c>
      <c r="J589" s="168">
        <f>IFERROR(MIN('MP Calculations'!$E$30/I589,1),"-")</f>
        <v>0.40513348981719682</v>
      </c>
      <c r="K589" s="12"/>
      <c r="L589" s="159">
        <v>0.84897299999999998</v>
      </c>
      <c r="M589" s="159" t="s">
        <v>294</v>
      </c>
      <c r="N589" s="159">
        <v>350</v>
      </c>
      <c r="O589" s="185">
        <f t="shared" si="29"/>
        <v>297.14055000000002</v>
      </c>
      <c r="P589" s="215">
        <f t="shared" si="28"/>
        <v>120.38158798770127</v>
      </c>
      <c r="Q589" s="215" cm="1">
        <f t="array" ref="Q589">IF(P589="-",0,P589/(1+'General inputs'!$H$32)^IFERROR(INDEX('MP Calculations'!$C$40:$C$130,MATCH(F589,'MP Calculations'!$D$40:$D$130,0),0),-1))</f>
        <v>141.91586341216612</v>
      </c>
    </row>
    <row r="590" spans="3:17">
      <c r="C590" s="159"/>
      <c r="D590" s="165" t="s">
        <v>281</v>
      </c>
      <c r="E590" s="161">
        <v>43601</v>
      </c>
      <c r="F590" s="172" t="str">
        <f t="shared" si="27"/>
        <v>2018-19</v>
      </c>
      <c r="G590" s="68"/>
      <c r="H590" s="167" t="s">
        <v>293</v>
      </c>
      <c r="I590" s="173">
        <v>20414.77563211487</v>
      </c>
      <c r="J590" s="168">
        <f>IFERROR(MIN('MP Calculations'!$E$30/I590,1),"-")</f>
        <v>0.40513348981719682</v>
      </c>
      <c r="K590" s="12"/>
      <c r="L590" s="159">
        <v>0.25446000000000002</v>
      </c>
      <c r="M590" s="159" t="s">
        <v>294</v>
      </c>
      <c r="N590" s="159">
        <v>350</v>
      </c>
      <c r="O590" s="185">
        <f t="shared" si="29"/>
        <v>89.061000000000007</v>
      </c>
      <c r="P590" s="215">
        <f t="shared" si="28"/>
        <v>36.081593736609371</v>
      </c>
      <c r="Q590" s="215" cm="1">
        <f t="array" ref="Q590">IF(P590="-",0,P590/(1+'General inputs'!$H$32)^IFERROR(INDEX('MP Calculations'!$C$40:$C$130,MATCH(F590,'MP Calculations'!$D$40:$D$130,0),0),-1))</f>
        <v>42.53599419988597</v>
      </c>
    </row>
    <row r="591" spans="3:17">
      <c r="C591" s="159"/>
      <c r="D591" s="165" t="s">
        <v>281</v>
      </c>
      <c r="E591" s="161">
        <v>43601</v>
      </c>
      <c r="F591" s="172" t="str">
        <f t="shared" si="27"/>
        <v>2018-19</v>
      </c>
      <c r="G591" s="68"/>
      <c r="H591" s="167" t="s">
        <v>293</v>
      </c>
      <c r="I591" s="173">
        <v>20414.77563211487</v>
      </c>
      <c r="J591" s="168">
        <f>IFERROR(MIN('MP Calculations'!$E$30/I591,1),"-")</f>
        <v>0.40513348981719682</v>
      </c>
      <c r="K591" s="12"/>
      <c r="L591" s="159">
        <v>0.81001500000000004</v>
      </c>
      <c r="M591" s="159" t="s">
        <v>294</v>
      </c>
      <c r="N591" s="159">
        <v>350</v>
      </c>
      <c r="O591" s="185">
        <f t="shared" si="29"/>
        <v>283.50524999999999</v>
      </c>
      <c r="P591" s="215">
        <f t="shared" si="28"/>
        <v>114.85747131399684</v>
      </c>
      <c r="Q591" s="215" cm="1">
        <f t="array" ref="Q591">IF(P591="-",0,P591/(1+'General inputs'!$H$32)^IFERROR(INDEX('MP Calculations'!$C$40:$C$130,MATCH(F591,'MP Calculations'!$D$40:$D$130,0),0),-1))</f>
        <v>135.40357361400859</v>
      </c>
    </row>
    <row r="592" spans="3:17">
      <c r="C592" s="159"/>
      <c r="D592" s="165" t="s">
        <v>281</v>
      </c>
      <c r="E592" s="161">
        <v>43601</v>
      </c>
      <c r="F592" s="172" t="str">
        <f t="shared" si="27"/>
        <v>2018-19</v>
      </c>
      <c r="G592" s="68"/>
      <c r="H592" s="167" t="s">
        <v>293</v>
      </c>
      <c r="I592" s="173">
        <v>20414.77563211487</v>
      </c>
      <c r="J592" s="168">
        <f>IFERROR(MIN('MP Calculations'!$E$30/I592,1),"-")</f>
        <v>0.40513348981719682</v>
      </c>
      <c r="K592" s="12"/>
      <c r="L592" s="159">
        <v>0.81001500000000004</v>
      </c>
      <c r="M592" s="159" t="s">
        <v>294</v>
      </c>
      <c r="N592" s="159">
        <v>350</v>
      </c>
      <c r="O592" s="185">
        <f t="shared" si="29"/>
        <v>283.50524999999999</v>
      </c>
      <c r="P592" s="215">
        <f t="shared" si="28"/>
        <v>114.85747131399684</v>
      </c>
      <c r="Q592" s="215" cm="1">
        <f t="array" ref="Q592">IF(P592="-",0,P592/(1+'General inputs'!$H$32)^IFERROR(INDEX('MP Calculations'!$C$40:$C$130,MATCH(F592,'MP Calculations'!$D$40:$D$130,0),0),-1))</f>
        <v>135.40357361400859</v>
      </c>
    </row>
    <row r="593" spans="3:17">
      <c r="C593" s="159"/>
      <c r="D593" s="165" t="s">
        <v>398</v>
      </c>
      <c r="E593" s="161">
        <v>43644</v>
      </c>
      <c r="F593" s="172" t="str">
        <f t="shared" si="27"/>
        <v>2018-19</v>
      </c>
      <c r="G593" s="68"/>
      <c r="H593" s="167" t="s">
        <v>293</v>
      </c>
      <c r="I593" s="173">
        <v>20414.77563211487</v>
      </c>
      <c r="J593" s="168">
        <f>IFERROR(MIN('MP Calculations'!$E$30/I593,1),"-")</f>
        <v>0.40513348981719682</v>
      </c>
      <c r="K593" s="12"/>
      <c r="L593" s="159">
        <v>1</v>
      </c>
      <c r="M593" s="159" t="s">
        <v>295</v>
      </c>
      <c r="N593" s="159">
        <v>2319.88</v>
      </c>
      <c r="O593" s="185">
        <f t="shared" si="29"/>
        <v>2319.88</v>
      </c>
      <c r="P593" s="215">
        <f t="shared" si="28"/>
        <v>939.86108035711857</v>
      </c>
      <c r="Q593" s="215" cm="1">
        <f t="array" ref="Q593">IF(P593="-",0,P593/(1+'General inputs'!$H$32)^IFERROR(INDEX('MP Calculations'!$C$40:$C$130,MATCH(F593,'MP Calculations'!$D$40:$D$130,0),0),-1))</f>
        <v>1107.986685804465</v>
      </c>
    </row>
    <row r="594" spans="3:17">
      <c r="C594" s="159"/>
      <c r="D594" s="165" t="s">
        <v>399</v>
      </c>
      <c r="E594" s="161">
        <v>43851</v>
      </c>
      <c r="F594" s="172" t="str">
        <f t="shared" si="27"/>
        <v>2019-20</v>
      </c>
      <c r="G594" s="68"/>
      <c r="H594" s="167" t="s">
        <v>293</v>
      </c>
      <c r="I594" s="173">
        <v>20414.77563211487</v>
      </c>
      <c r="J594" s="168">
        <f>IFERROR(MIN('MP Calculations'!$E$30/I594,1),"-")</f>
        <v>0.40513348981719682</v>
      </c>
      <c r="K594" s="12"/>
      <c r="L594" s="159">
        <v>1</v>
      </c>
      <c r="M594" s="159" t="s">
        <v>295</v>
      </c>
      <c r="N594" s="159">
        <v>33976.949999999997</v>
      </c>
      <c r="O594" s="185">
        <f t="shared" si="29"/>
        <v>33976.949999999997</v>
      </c>
      <c r="P594" s="215">
        <f t="shared" si="28"/>
        <v>13765.200326844404</v>
      </c>
      <c r="Q594" s="215" cm="1">
        <f t="array" ref="Q594">IF(P594="-",0,P594/(1+'General inputs'!$H$32)^IFERROR(INDEX('MP Calculations'!$C$40:$C$130,MATCH(F594,'MP Calculations'!$D$40:$D$130,0),0),-1))</f>
        <v>15573.480844318279</v>
      </c>
    </row>
    <row r="595" spans="3:17">
      <c r="C595" s="159"/>
      <c r="D595" s="165" t="s">
        <v>281</v>
      </c>
      <c r="E595" s="161">
        <v>43876</v>
      </c>
      <c r="F595" s="172" t="str">
        <f t="shared" si="27"/>
        <v>2019-20</v>
      </c>
      <c r="G595" s="68"/>
      <c r="H595" s="167" t="s">
        <v>293</v>
      </c>
      <c r="I595" s="173">
        <v>20414.77563211487</v>
      </c>
      <c r="J595" s="168">
        <f>IFERROR(MIN('MP Calculations'!$E$30/I595,1),"-")</f>
        <v>0.40513348981719682</v>
      </c>
      <c r="K595" s="12"/>
      <c r="L595" s="159">
        <v>5.5999679999999996</v>
      </c>
      <c r="M595" s="159" t="s">
        <v>294</v>
      </c>
      <c r="N595" s="159">
        <v>350</v>
      </c>
      <c r="O595" s="185">
        <f t="shared" si="29"/>
        <v>1959.9887999999999</v>
      </c>
      <c r="P595" s="215">
        <f t="shared" si="28"/>
        <v>794.05710254661972</v>
      </c>
      <c r="Q595" s="215" cm="1">
        <f t="array" ref="Q595">IF(P595="-",0,P595/(1+'General inputs'!$H$32)^IFERROR(INDEX('MP Calculations'!$C$40:$C$130,MATCH(F595,'MP Calculations'!$D$40:$D$130,0),0),-1))</f>
        <v>898.36927775678419</v>
      </c>
    </row>
    <row r="596" spans="3:17">
      <c r="C596" s="159"/>
      <c r="D596" s="165" t="s">
        <v>281</v>
      </c>
      <c r="E596" s="161">
        <v>43929</v>
      </c>
      <c r="F596" s="172" t="str">
        <f t="shared" si="27"/>
        <v>2019-20</v>
      </c>
      <c r="G596" s="68"/>
      <c r="H596" s="167" t="s">
        <v>293</v>
      </c>
      <c r="I596" s="173">
        <v>20414.77563211487</v>
      </c>
      <c r="J596" s="168">
        <f>IFERROR(MIN('MP Calculations'!$E$30/I596,1),"-")</f>
        <v>0.40513348981719682</v>
      </c>
      <c r="K596" s="12"/>
      <c r="L596" s="159">
        <v>0.99999800000000005</v>
      </c>
      <c r="M596" s="159" t="s">
        <v>294</v>
      </c>
      <c r="N596" s="159">
        <v>350</v>
      </c>
      <c r="O596" s="185">
        <f t="shared" si="29"/>
        <v>349.99930000000001</v>
      </c>
      <c r="P596" s="215">
        <f t="shared" si="28"/>
        <v>141.79643784257601</v>
      </c>
      <c r="Q596" s="215" cm="1">
        <f t="array" ref="Q596">IF(P596="-",0,P596/(1+'General inputs'!$H$32)^IFERROR(INDEX('MP Calculations'!$C$40:$C$130,MATCH(F596,'MP Calculations'!$D$40:$D$130,0),0),-1))</f>
        <v>160.42368117429044</v>
      </c>
    </row>
    <row r="597" spans="3:17">
      <c r="C597" s="159"/>
      <c r="D597" s="165" t="s">
        <v>281</v>
      </c>
      <c r="E597" s="161">
        <v>43929</v>
      </c>
      <c r="F597" s="172" t="str">
        <f t="shared" si="27"/>
        <v>2019-20</v>
      </c>
      <c r="G597" s="68"/>
      <c r="H597" s="167" t="s">
        <v>293</v>
      </c>
      <c r="I597" s="173">
        <v>20414.77563211487</v>
      </c>
      <c r="J597" s="168">
        <f>IFERROR(MIN('MP Calculations'!$E$30/I597,1),"-")</f>
        <v>0.40513348981719682</v>
      </c>
      <c r="K597" s="12"/>
      <c r="L597" s="159">
        <v>0.99999800000000005</v>
      </c>
      <c r="M597" s="159" t="s">
        <v>294</v>
      </c>
      <c r="N597" s="159">
        <v>350</v>
      </c>
      <c r="O597" s="185">
        <f t="shared" si="29"/>
        <v>349.99930000000001</v>
      </c>
      <c r="P597" s="215">
        <f t="shared" si="28"/>
        <v>141.79643784257601</v>
      </c>
      <c r="Q597" s="215" cm="1">
        <f t="array" ref="Q597">IF(P597="-",0,P597/(1+'General inputs'!$H$32)^IFERROR(INDEX('MP Calculations'!$C$40:$C$130,MATCH(F597,'MP Calculations'!$D$40:$D$130,0),0),-1))</f>
        <v>160.42368117429044</v>
      </c>
    </row>
    <row r="598" spans="3:17">
      <c r="C598" s="159"/>
      <c r="D598" s="165" t="s">
        <v>281</v>
      </c>
      <c r="E598" s="161">
        <v>43929</v>
      </c>
      <c r="F598" s="172" t="str">
        <f t="shared" ref="F598:F661" si="30">IF(E598="","-",IF(OR(E598&lt;$E$15,E598&gt;$E$16),"ERROR - date outside of range",IF(MONTH(E598)&gt;=7,YEAR(E598)&amp;"-"&amp;IF(YEAR(E598)=1999,"00",IF(AND(YEAR(E598)&gt;=2000,YEAR(E598)&lt;2009),"0","")&amp;RIGHT(YEAR(E598),2)+1),RIGHT(YEAR(E598),4)-1&amp;"-"&amp;RIGHT(YEAR(E598),2))))</f>
        <v>2019-20</v>
      </c>
      <c r="G598" s="68"/>
      <c r="H598" s="167" t="s">
        <v>293</v>
      </c>
      <c r="I598" s="173">
        <v>20414.77563211487</v>
      </c>
      <c r="J598" s="168">
        <f>IFERROR(MIN('MP Calculations'!$E$30/I598,1),"-")</f>
        <v>0.40513348981719682</v>
      </c>
      <c r="K598" s="12"/>
      <c r="L598" s="159">
        <v>0.69996000000000003</v>
      </c>
      <c r="M598" s="159" t="s">
        <v>294</v>
      </c>
      <c r="N598" s="159">
        <v>350</v>
      </c>
      <c r="O598" s="185">
        <f t="shared" ref="O598:O661" si="31">IF(N598="","-",L598*N598)</f>
        <v>244.98600000000002</v>
      </c>
      <c r="P598" s="215">
        <f t="shared" ref="P598:P661" si="32">IF(O598="-","-",IF(OR(E598&lt;$E$15,E598&gt;$E$16),0,O598*J598))</f>
        <v>99.252033136355791</v>
      </c>
      <c r="Q598" s="215" cm="1">
        <f t="array" ref="Q598">IF(P598="-",0,P598/(1+'General inputs'!$H$32)^IFERROR(INDEX('MP Calculations'!$C$40:$C$130,MATCH(F598,'MP Calculations'!$D$40:$D$130,0),0),-1))</f>
        <v>112.29038445552526</v>
      </c>
    </row>
    <row r="599" spans="3:17">
      <c r="C599" s="159"/>
      <c r="D599" s="165" t="s">
        <v>281</v>
      </c>
      <c r="E599" s="161">
        <v>43929</v>
      </c>
      <c r="F599" s="172" t="str">
        <f t="shared" si="30"/>
        <v>2019-20</v>
      </c>
      <c r="G599" s="68"/>
      <c r="H599" s="167" t="s">
        <v>293</v>
      </c>
      <c r="I599" s="173">
        <v>20414.77563211487</v>
      </c>
      <c r="J599" s="168">
        <f>IFERROR(MIN('MP Calculations'!$E$30/I599,1),"-")</f>
        <v>0.40513348981719682</v>
      </c>
      <c r="K599" s="12"/>
      <c r="L599" s="159">
        <v>0.69996000000000003</v>
      </c>
      <c r="M599" s="159" t="s">
        <v>294</v>
      </c>
      <c r="N599" s="159">
        <v>350</v>
      </c>
      <c r="O599" s="185">
        <f t="shared" si="31"/>
        <v>244.98600000000002</v>
      </c>
      <c r="P599" s="215">
        <f t="shared" si="32"/>
        <v>99.252033136355791</v>
      </c>
      <c r="Q599" s="215" cm="1">
        <f t="array" ref="Q599">IF(P599="-",0,P599/(1+'General inputs'!$H$32)^IFERROR(INDEX('MP Calculations'!$C$40:$C$130,MATCH(F599,'MP Calculations'!$D$40:$D$130,0),0),-1))</f>
        <v>112.29038445552526</v>
      </c>
    </row>
    <row r="600" spans="3:17">
      <c r="C600" s="159"/>
      <c r="D600" s="165" t="s">
        <v>282</v>
      </c>
      <c r="E600" s="161">
        <v>43936</v>
      </c>
      <c r="F600" s="172" t="str">
        <f t="shared" si="30"/>
        <v>2019-20</v>
      </c>
      <c r="G600" s="68"/>
      <c r="H600" s="167" t="s">
        <v>293</v>
      </c>
      <c r="I600" s="173">
        <v>20414.77563211487</v>
      </c>
      <c r="J600" s="168">
        <f>IFERROR(MIN('MP Calculations'!$E$30/I600,1),"-")</f>
        <v>0.40513348981719682</v>
      </c>
      <c r="K600" s="12"/>
      <c r="L600" s="159">
        <v>72.221080999999998</v>
      </c>
      <c r="M600" s="159" t="s">
        <v>294</v>
      </c>
      <c r="N600" s="159">
        <v>511</v>
      </c>
      <c r="O600" s="185">
        <f t="shared" si="31"/>
        <v>36904.972390999996</v>
      </c>
      <c r="P600" s="215">
        <f t="shared" si="32"/>
        <v>14951.440256373127</v>
      </c>
      <c r="Q600" s="215" cm="1">
        <f t="array" ref="Q600">IF(P600="-",0,P600/(1+'General inputs'!$H$32)^IFERROR(INDEX('MP Calculations'!$C$40:$C$130,MATCH(F600,'MP Calculations'!$D$40:$D$130,0),0),-1))</f>
        <v>16915.552472818585</v>
      </c>
    </row>
    <row r="601" spans="3:17">
      <c r="C601" s="159"/>
      <c r="D601" s="165" t="s">
        <v>400</v>
      </c>
      <c r="E601" s="161">
        <v>43956</v>
      </c>
      <c r="F601" s="172" t="str">
        <f t="shared" si="30"/>
        <v>2019-20</v>
      </c>
      <c r="G601" s="68"/>
      <c r="H601" s="167" t="s">
        <v>293</v>
      </c>
      <c r="I601" s="173">
        <v>20414.77563211487</v>
      </c>
      <c r="J601" s="168">
        <f>IFERROR(MIN('MP Calculations'!$E$30/I601,1),"-")</f>
        <v>0.40513348981719682</v>
      </c>
      <c r="K601" s="12"/>
      <c r="L601" s="159">
        <v>1</v>
      </c>
      <c r="M601" s="159" t="s">
        <v>295</v>
      </c>
      <c r="N601" s="159">
        <v>38065.949999999997</v>
      </c>
      <c r="O601" s="185">
        <f t="shared" si="31"/>
        <v>38065.949999999997</v>
      </c>
      <c r="P601" s="215">
        <f t="shared" si="32"/>
        <v>15421.791166706922</v>
      </c>
      <c r="Q601" s="215" cm="1">
        <f t="array" ref="Q601">IF(P601="-",0,P601/(1+'General inputs'!$H$32)^IFERROR(INDEX('MP Calculations'!$C$40:$C$130,MATCH(F601,'MP Calculations'!$D$40:$D$130,0),0),-1))</f>
        <v>17447.691542230172</v>
      </c>
    </row>
    <row r="602" spans="3:17">
      <c r="C602" s="159"/>
      <c r="D602" s="165" t="s">
        <v>282</v>
      </c>
      <c r="E602" s="161">
        <v>43991</v>
      </c>
      <c r="F602" s="172" t="str">
        <f t="shared" si="30"/>
        <v>2019-20</v>
      </c>
      <c r="G602" s="68"/>
      <c r="H602" s="167" t="s">
        <v>293</v>
      </c>
      <c r="I602" s="173">
        <v>20414.77563211487</v>
      </c>
      <c r="J602" s="168">
        <f>IFERROR(MIN('MP Calculations'!$E$30/I602,1),"-")</f>
        <v>0.40513348981719682</v>
      </c>
      <c r="K602" s="12"/>
      <c r="L602" s="159">
        <v>6.0000330000000002</v>
      </c>
      <c r="M602" s="159" t="s">
        <v>294</v>
      </c>
      <c r="N602" s="159">
        <v>511</v>
      </c>
      <c r="O602" s="185">
        <f t="shared" si="31"/>
        <v>3066.0168630000003</v>
      </c>
      <c r="P602" s="215">
        <f t="shared" si="32"/>
        <v>1242.1461115455643</v>
      </c>
      <c r="Q602" s="215" cm="1">
        <f t="array" ref="Q602">IF(P602="-",0,P602/(1+'General inputs'!$H$32)^IFERROR(INDEX('MP Calculations'!$C$40:$C$130,MATCH(F602,'MP Calculations'!$D$40:$D$130,0),0),-1))</f>
        <v>1405.3219869437171</v>
      </c>
    </row>
    <row r="603" spans="3:17">
      <c r="C603" s="159"/>
      <c r="D603" s="165" t="s">
        <v>401</v>
      </c>
      <c r="E603" s="161">
        <v>44011</v>
      </c>
      <c r="F603" s="172" t="str">
        <f t="shared" si="30"/>
        <v>2019-20</v>
      </c>
      <c r="G603" s="68"/>
      <c r="H603" s="167" t="s">
        <v>293</v>
      </c>
      <c r="I603" s="173">
        <v>20414.77563211487</v>
      </c>
      <c r="J603" s="168">
        <f>IFERROR(MIN('MP Calculations'!$E$30/I603,1),"-")</f>
        <v>0.40513348981719682</v>
      </c>
      <c r="K603" s="12"/>
      <c r="L603" s="159">
        <v>1</v>
      </c>
      <c r="M603" s="159" t="s">
        <v>295</v>
      </c>
      <c r="N603" s="159">
        <v>726.51</v>
      </c>
      <c r="O603" s="185">
        <f t="shared" si="31"/>
        <v>726.51</v>
      </c>
      <c r="P603" s="215">
        <f t="shared" si="32"/>
        <v>294.33353168709164</v>
      </c>
      <c r="Q603" s="215" cm="1">
        <f t="array" ref="Q603">IF(P603="-",0,P603/(1+'General inputs'!$H$32)^IFERROR(INDEX('MP Calculations'!$C$40:$C$130,MATCH(F603,'MP Calculations'!$D$40:$D$130,0),0),-1))</f>
        <v>332.99897631204897</v>
      </c>
    </row>
    <row r="604" spans="3:17">
      <c r="C604" s="159"/>
      <c r="D604" s="165" t="s">
        <v>281</v>
      </c>
      <c r="E604" s="161">
        <v>44180</v>
      </c>
      <c r="F604" s="172" t="str">
        <f t="shared" si="30"/>
        <v>2020-21</v>
      </c>
      <c r="G604" s="68"/>
      <c r="H604" s="167" t="s">
        <v>293</v>
      </c>
      <c r="I604" s="173">
        <v>20414.77563211487</v>
      </c>
      <c r="J604" s="168">
        <f>IFERROR(MIN('MP Calculations'!$E$30/I604,1),"-")</f>
        <v>0.40513348981719682</v>
      </c>
      <c r="K604" s="12"/>
      <c r="L604" s="159">
        <v>0.66507700000000003</v>
      </c>
      <c r="M604" s="159" t="s">
        <v>294</v>
      </c>
      <c r="N604" s="159">
        <v>350</v>
      </c>
      <c r="O604" s="185">
        <f t="shared" si="31"/>
        <v>232.77695</v>
      </c>
      <c r="P604" s="215">
        <f t="shared" si="32"/>
        <v>94.305738102503128</v>
      </c>
      <c r="Q604" s="215" cm="1">
        <f t="array" ref="Q604">IF(P604="-",0,P604/(1+'General inputs'!$H$32)^IFERROR(INDEX('MP Calculations'!$C$40:$C$130,MATCH(F604,'MP Calculations'!$D$40:$D$130,0),0),-1))</f>
        <v>102.39377542512622</v>
      </c>
    </row>
    <row r="605" spans="3:17">
      <c r="C605" s="159"/>
      <c r="D605" s="165" t="s">
        <v>281</v>
      </c>
      <c r="E605" s="161">
        <v>44180</v>
      </c>
      <c r="F605" s="172" t="str">
        <f t="shared" si="30"/>
        <v>2020-21</v>
      </c>
      <c r="G605" s="68"/>
      <c r="H605" s="167" t="s">
        <v>293</v>
      </c>
      <c r="I605" s="173">
        <v>20414.77563211487</v>
      </c>
      <c r="J605" s="168">
        <f>IFERROR(MIN('MP Calculations'!$E$30/I605,1),"-")</f>
        <v>0.40513348981719682</v>
      </c>
      <c r="K605" s="12"/>
      <c r="L605" s="159">
        <v>2.3349440000000001</v>
      </c>
      <c r="M605" s="159" t="s">
        <v>294</v>
      </c>
      <c r="N605" s="159">
        <v>350</v>
      </c>
      <c r="O605" s="185">
        <f t="shared" si="31"/>
        <v>817.23040000000003</v>
      </c>
      <c r="P605" s="215">
        <f t="shared" si="32"/>
        <v>331.08740393670371</v>
      </c>
      <c r="Q605" s="215" cm="1">
        <f t="array" ref="Q605">IF(P605="-",0,P605/(1+'General inputs'!$H$32)^IFERROR(INDEX('MP Calculations'!$C$40:$C$130,MATCH(F605,'MP Calculations'!$D$40:$D$130,0),0),-1))</f>
        <v>359.4827840479312</v>
      </c>
    </row>
    <row r="606" spans="3:17">
      <c r="C606" s="159"/>
      <c r="D606" s="165" t="s">
        <v>281</v>
      </c>
      <c r="E606" s="161">
        <v>44356</v>
      </c>
      <c r="F606" s="172" t="str">
        <f t="shared" si="30"/>
        <v>2020-21</v>
      </c>
      <c r="G606" s="68"/>
      <c r="H606" s="167" t="s">
        <v>293</v>
      </c>
      <c r="I606" s="173">
        <v>20414.77563211487</v>
      </c>
      <c r="J606" s="168">
        <f>IFERROR(MIN('MP Calculations'!$E$30/I606,1),"-")</f>
        <v>0.40513348981719682</v>
      </c>
      <c r="K606" s="12"/>
      <c r="L606" s="159">
        <v>8.0882430000000003</v>
      </c>
      <c r="M606" s="159" t="s">
        <v>294</v>
      </c>
      <c r="N606" s="159">
        <v>350</v>
      </c>
      <c r="O606" s="185">
        <f t="shared" si="31"/>
        <v>2830.8850500000003</v>
      </c>
      <c r="P606" s="215">
        <f t="shared" si="32"/>
        <v>1146.8863395778299</v>
      </c>
      <c r="Q606" s="215" cm="1">
        <f t="array" ref="Q606">IF(P606="-",0,P606/(1+'General inputs'!$H$32)^IFERROR(INDEX('MP Calculations'!$C$40:$C$130,MATCH(F606,'MP Calculations'!$D$40:$D$130,0),0),-1))</f>
        <v>1245.2478996053831</v>
      </c>
    </row>
    <row r="607" spans="3:17">
      <c r="C607" s="159"/>
      <c r="D607" s="165" t="s">
        <v>282</v>
      </c>
      <c r="E607" s="161">
        <v>44396</v>
      </c>
      <c r="F607" s="172" t="str">
        <f t="shared" si="30"/>
        <v>2021-22</v>
      </c>
      <c r="G607" s="68"/>
      <c r="H607" s="167" t="s">
        <v>293</v>
      </c>
      <c r="I607" s="173">
        <v>20414.77563211487</v>
      </c>
      <c r="J607" s="168">
        <f>IFERROR(MIN('MP Calculations'!$E$30/I607,1),"-")</f>
        <v>0.40513348981719682</v>
      </c>
      <c r="K607" s="12"/>
      <c r="L607" s="159">
        <v>1</v>
      </c>
      <c r="M607" s="159" t="s">
        <v>294</v>
      </c>
      <c r="N607" s="159">
        <v>511</v>
      </c>
      <c r="O607" s="185">
        <f t="shared" si="31"/>
        <v>511</v>
      </c>
      <c r="P607" s="215">
        <f t="shared" si="32"/>
        <v>207.02321329658758</v>
      </c>
      <c r="Q607" s="215" cm="1">
        <f t="array" ref="Q607">IF(P607="-",0,P607/(1+'General inputs'!$H$32)^IFERROR(INDEX('MP Calculations'!$C$40:$C$130,MATCH(F607,'MP Calculations'!$D$40:$D$130,0),0),-1))</f>
        <v>215.71818825504425</v>
      </c>
    </row>
    <row r="608" spans="3:17">
      <c r="C608" s="159"/>
      <c r="D608" s="165" t="s">
        <v>282</v>
      </c>
      <c r="E608" s="161">
        <v>44396</v>
      </c>
      <c r="F608" s="172" t="str">
        <f t="shared" si="30"/>
        <v>2021-22</v>
      </c>
      <c r="G608" s="68"/>
      <c r="H608" s="167" t="s">
        <v>293</v>
      </c>
      <c r="I608" s="173">
        <v>20414.77563211487</v>
      </c>
      <c r="J608" s="168">
        <f>IFERROR(MIN('MP Calculations'!$E$30/I608,1),"-")</f>
        <v>0.40513348981719682</v>
      </c>
      <c r="K608" s="12"/>
      <c r="L608" s="159">
        <v>28.111328</v>
      </c>
      <c r="M608" s="159" t="s">
        <v>294</v>
      </c>
      <c r="N608" s="159">
        <v>511</v>
      </c>
      <c r="O608" s="185">
        <f t="shared" si="31"/>
        <v>14364.888607999999</v>
      </c>
      <c r="P608" s="215">
        <f t="shared" si="32"/>
        <v>5819.6974525943342</v>
      </c>
      <c r="Q608" s="215" cm="1">
        <f t="array" ref="Q608">IF(P608="-",0,P608/(1+'General inputs'!$H$32)^IFERROR(INDEX('MP Calculations'!$C$40:$C$130,MATCH(F608,'MP Calculations'!$D$40:$D$130,0),0),-1))</f>
        <v>6064.1247456032961</v>
      </c>
    </row>
    <row r="609" spans="3:17">
      <c r="C609" s="159"/>
      <c r="D609" s="165" t="s">
        <v>281</v>
      </c>
      <c r="E609" s="161">
        <v>44453</v>
      </c>
      <c r="F609" s="172" t="str">
        <f t="shared" si="30"/>
        <v>2021-22</v>
      </c>
      <c r="G609" s="68"/>
      <c r="H609" s="167" t="s">
        <v>293</v>
      </c>
      <c r="I609" s="173">
        <v>20414.77563211487</v>
      </c>
      <c r="J609" s="168">
        <f>IFERROR(MIN('MP Calculations'!$E$30/I609,1),"-")</f>
        <v>0.40513348981719682</v>
      </c>
      <c r="K609" s="12"/>
      <c r="L609" s="159">
        <v>1.8867830000000001</v>
      </c>
      <c r="M609" s="159" t="s">
        <v>294</v>
      </c>
      <c r="N609" s="159">
        <v>350</v>
      </c>
      <c r="O609" s="185">
        <f t="shared" si="31"/>
        <v>660.37405000000001</v>
      </c>
      <c r="P609" s="215">
        <f t="shared" si="32"/>
        <v>267.53964346121603</v>
      </c>
      <c r="Q609" s="215" cm="1">
        <f t="array" ref="Q609">IF(P609="-",0,P609/(1+'General inputs'!$H$32)^IFERROR(INDEX('MP Calculations'!$C$40:$C$130,MATCH(F609,'MP Calculations'!$D$40:$D$130,0),0),-1))</f>
        <v>278.77630848658708</v>
      </c>
    </row>
    <row r="610" spans="3:17">
      <c r="C610" s="159"/>
      <c r="D610" s="165" t="s">
        <v>281</v>
      </c>
      <c r="E610" s="161">
        <v>44453</v>
      </c>
      <c r="F610" s="172" t="str">
        <f t="shared" si="30"/>
        <v>2021-22</v>
      </c>
      <c r="G610" s="68"/>
      <c r="H610" s="167" t="s">
        <v>293</v>
      </c>
      <c r="I610" s="173">
        <v>20414.77563211487</v>
      </c>
      <c r="J610" s="168">
        <f>IFERROR(MIN('MP Calculations'!$E$30/I610,1),"-")</f>
        <v>0.40513348981719682</v>
      </c>
      <c r="K610" s="12"/>
      <c r="L610" s="159">
        <v>0.29546600000000001</v>
      </c>
      <c r="M610" s="159" t="s">
        <v>294</v>
      </c>
      <c r="N610" s="159">
        <v>350</v>
      </c>
      <c r="O610" s="185">
        <f t="shared" si="31"/>
        <v>103.4131</v>
      </c>
      <c r="P610" s="215">
        <f t="shared" si="32"/>
        <v>41.896110095814755</v>
      </c>
      <c r="Q610" s="215" cm="1">
        <f t="array" ref="Q610">IF(P610="-",0,P610/(1+'General inputs'!$H$32)^IFERROR(INDEX('MP Calculations'!$C$40:$C$130,MATCH(F610,'MP Calculations'!$D$40:$D$130,0),0),-1))</f>
        <v>43.655746719838973</v>
      </c>
    </row>
    <row r="611" spans="3:17">
      <c r="C611" s="159"/>
      <c r="D611" s="165"/>
      <c r="E611" s="161"/>
      <c r="F611" s="172" t="str">
        <f t="shared" si="30"/>
        <v>-</v>
      </c>
      <c r="G611" s="68"/>
      <c r="H611" s="167"/>
      <c r="I611" s="173"/>
      <c r="J611" s="168" t="str">
        <f>IFERROR(MIN('MP Calculations'!$E$30/I611,1),"-")</f>
        <v>-</v>
      </c>
      <c r="K611" s="12"/>
      <c r="L611" s="159"/>
      <c r="M611" s="159"/>
      <c r="N611" s="159"/>
      <c r="O611" s="185" t="str">
        <f t="shared" si="31"/>
        <v>-</v>
      </c>
      <c r="P611" s="215" t="str">
        <f t="shared" si="32"/>
        <v>-</v>
      </c>
      <c r="Q611" s="215" cm="1">
        <f t="array" ref="Q611">IF(P611="-",0,P611/(1+'General inputs'!$H$32)^IFERROR(INDEX('MP Calculations'!$C$40:$C$130,MATCH(F611,'MP Calculations'!$D$40:$D$130,0),0),-1))</f>
        <v>0</v>
      </c>
    </row>
    <row r="612" spans="3:17">
      <c r="C612" s="159"/>
      <c r="D612" s="165"/>
      <c r="E612" s="161"/>
      <c r="F612" s="172" t="str">
        <f t="shared" si="30"/>
        <v>-</v>
      </c>
      <c r="G612" s="68"/>
      <c r="H612" s="167"/>
      <c r="I612" s="173"/>
      <c r="J612" s="168" t="str">
        <f>IFERROR(MIN('MP Calculations'!$E$30/I612,1),"-")</f>
        <v>-</v>
      </c>
      <c r="K612" s="12"/>
      <c r="L612" s="159"/>
      <c r="M612" s="159"/>
      <c r="N612" s="159"/>
      <c r="O612" s="185" t="str">
        <f t="shared" si="31"/>
        <v>-</v>
      </c>
      <c r="P612" s="215" t="str">
        <f t="shared" si="32"/>
        <v>-</v>
      </c>
      <c r="Q612" s="215" cm="1">
        <f t="array" ref="Q612">IF(P612="-",0,P612/(1+'General inputs'!$H$32)^IFERROR(INDEX('MP Calculations'!$C$40:$C$130,MATCH(F612,'MP Calculations'!$D$40:$D$130,0),0),-1))</f>
        <v>0</v>
      </c>
    </row>
    <row r="613" spans="3:17">
      <c r="C613" s="159"/>
      <c r="D613" s="165"/>
      <c r="E613" s="161"/>
      <c r="F613" s="172" t="str">
        <f t="shared" si="30"/>
        <v>-</v>
      </c>
      <c r="G613" s="68"/>
      <c r="H613" s="167"/>
      <c r="I613" s="173"/>
      <c r="J613" s="168" t="str">
        <f>IFERROR(MIN('MP Calculations'!$E$30/I613,1),"-")</f>
        <v>-</v>
      </c>
      <c r="K613" s="12"/>
      <c r="L613" s="159"/>
      <c r="M613" s="159"/>
      <c r="N613" s="159"/>
      <c r="O613" s="185" t="str">
        <f t="shared" si="31"/>
        <v>-</v>
      </c>
      <c r="P613" s="215" t="str">
        <f t="shared" si="32"/>
        <v>-</v>
      </c>
      <c r="Q613" s="215" cm="1">
        <f t="array" ref="Q613">IF(P613="-",0,P613/(1+'General inputs'!$H$32)^IFERROR(INDEX('MP Calculations'!$C$40:$C$130,MATCH(F613,'MP Calculations'!$D$40:$D$130,0),0),-1))</f>
        <v>0</v>
      </c>
    </row>
    <row r="614" spans="3:17">
      <c r="C614" s="159"/>
      <c r="D614" s="165"/>
      <c r="E614" s="161"/>
      <c r="F614" s="172" t="str">
        <f t="shared" si="30"/>
        <v>-</v>
      </c>
      <c r="G614" s="68"/>
      <c r="H614" s="167"/>
      <c r="I614" s="173"/>
      <c r="J614" s="168" t="str">
        <f>IFERROR(MIN('MP Calculations'!$E$30/I614,1),"-")</f>
        <v>-</v>
      </c>
      <c r="K614" s="12"/>
      <c r="L614" s="159"/>
      <c r="M614" s="159"/>
      <c r="N614" s="159"/>
      <c r="O614" s="185" t="str">
        <f t="shared" si="31"/>
        <v>-</v>
      </c>
      <c r="P614" s="215" t="str">
        <f t="shared" si="32"/>
        <v>-</v>
      </c>
      <c r="Q614" s="215" cm="1">
        <f t="array" ref="Q614">IF(P614="-",0,P614/(1+'General inputs'!$H$32)^IFERROR(INDEX('MP Calculations'!$C$40:$C$130,MATCH(F614,'MP Calculations'!$D$40:$D$130,0),0),-1))</f>
        <v>0</v>
      </c>
    </row>
    <row r="615" spans="3:17">
      <c r="C615" s="159"/>
      <c r="D615" s="165"/>
      <c r="E615" s="161"/>
      <c r="F615" s="172" t="str">
        <f t="shared" si="30"/>
        <v>-</v>
      </c>
      <c r="G615" s="68"/>
      <c r="H615" s="167"/>
      <c r="I615" s="173"/>
      <c r="J615" s="168" t="str">
        <f>IFERROR(MIN('MP Calculations'!$E$30/I615,1),"-")</f>
        <v>-</v>
      </c>
      <c r="K615" s="12"/>
      <c r="L615" s="159"/>
      <c r="M615" s="159"/>
      <c r="N615" s="159"/>
      <c r="O615" s="185" t="str">
        <f t="shared" si="31"/>
        <v>-</v>
      </c>
      <c r="P615" s="215" t="str">
        <f t="shared" si="32"/>
        <v>-</v>
      </c>
      <c r="Q615" s="215" cm="1">
        <f t="array" ref="Q615">IF(P615="-",0,P615/(1+'General inputs'!$H$32)^IFERROR(INDEX('MP Calculations'!$C$40:$C$130,MATCH(F615,'MP Calculations'!$D$40:$D$130,0),0),-1))</f>
        <v>0</v>
      </c>
    </row>
    <row r="616" spans="3:17">
      <c r="C616" s="159"/>
      <c r="D616" s="165"/>
      <c r="E616" s="161"/>
      <c r="F616" s="172" t="str">
        <f t="shared" si="30"/>
        <v>-</v>
      </c>
      <c r="G616" s="68"/>
      <c r="H616" s="167"/>
      <c r="I616" s="173"/>
      <c r="J616" s="168" t="str">
        <f>IFERROR(MIN('MP Calculations'!$E$30/I616,1),"-")</f>
        <v>-</v>
      </c>
      <c r="K616" s="12"/>
      <c r="L616" s="159"/>
      <c r="M616" s="159"/>
      <c r="N616" s="159"/>
      <c r="O616" s="185" t="str">
        <f t="shared" si="31"/>
        <v>-</v>
      </c>
      <c r="P616" s="215" t="str">
        <f t="shared" si="32"/>
        <v>-</v>
      </c>
      <c r="Q616" s="215" cm="1">
        <f t="array" ref="Q616">IF(P616="-",0,P616/(1+'General inputs'!$H$32)^IFERROR(INDEX('MP Calculations'!$C$40:$C$130,MATCH(F616,'MP Calculations'!$D$40:$D$130,0),0),-1))</f>
        <v>0</v>
      </c>
    </row>
    <row r="617" spans="3:17">
      <c r="C617" s="159"/>
      <c r="D617" s="165"/>
      <c r="E617" s="161"/>
      <c r="F617" s="172" t="str">
        <f t="shared" si="30"/>
        <v>-</v>
      </c>
      <c r="G617" s="68"/>
      <c r="H617" s="167"/>
      <c r="I617" s="173"/>
      <c r="J617" s="168" t="str">
        <f>IFERROR(MIN('MP Calculations'!$E$30/I617,1),"-")</f>
        <v>-</v>
      </c>
      <c r="K617" s="12"/>
      <c r="L617" s="159"/>
      <c r="M617" s="159"/>
      <c r="N617" s="159"/>
      <c r="O617" s="185" t="str">
        <f t="shared" si="31"/>
        <v>-</v>
      </c>
      <c r="P617" s="215" t="str">
        <f t="shared" si="32"/>
        <v>-</v>
      </c>
      <c r="Q617" s="215" cm="1">
        <f t="array" ref="Q617">IF(P617="-",0,P617/(1+'General inputs'!$H$32)^IFERROR(INDEX('MP Calculations'!$C$40:$C$130,MATCH(F617,'MP Calculations'!$D$40:$D$130,0),0),-1))</f>
        <v>0</v>
      </c>
    </row>
    <row r="618" spans="3:17">
      <c r="C618" s="159"/>
      <c r="D618" s="165"/>
      <c r="E618" s="161"/>
      <c r="F618" s="172" t="str">
        <f t="shared" si="30"/>
        <v>-</v>
      </c>
      <c r="G618" s="68"/>
      <c r="H618" s="167"/>
      <c r="I618" s="173"/>
      <c r="J618" s="168" t="str">
        <f>IFERROR(MIN('MP Calculations'!$E$30/I618,1),"-")</f>
        <v>-</v>
      </c>
      <c r="K618" s="12"/>
      <c r="L618" s="159"/>
      <c r="M618" s="159"/>
      <c r="N618" s="159"/>
      <c r="O618" s="185" t="str">
        <f t="shared" si="31"/>
        <v>-</v>
      </c>
      <c r="P618" s="215" t="str">
        <f t="shared" si="32"/>
        <v>-</v>
      </c>
      <c r="Q618" s="215" cm="1">
        <f t="array" ref="Q618">IF(P618="-",0,P618/(1+'General inputs'!$H$32)^IFERROR(INDEX('MP Calculations'!$C$40:$C$130,MATCH(F618,'MP Calculations'!$D$40:$D$130,0),0),-1))</f>
        <v>0</v>
      </c>
    </row>
    <row r="619" spans="3:17">
      <c r="C619" s="159"/>
      <c r="D619" s="165"/>
      <c r="E619" s="161"/>
      <c r="F619" s="172" t="str">
        <f t="shared" si="30"/>
        <v>-</v>
      </c>
      <c r="G619" s="68"/>
      <c r="H619" s="167"/>
      <c r="I619" s="173"/>
      <c r="J619" s="168" t="str">
        <f>IFERROR(MIN('MP Calculations'!$E$30/I619,1),"-")</f>
        <v>-</v>
      </c>
      <c r="K619" s="12"/>
      <c r="L619" s="159"/>
      <c r="M619" s="159"/>
      <c r="N619" s="159"/>
      <c r="O619" s="185" t="str">
        <f t="shared" si="31"/>
        <v>-</v>
      </c>
      <c r="P619" s="215" t="str">
        <f t="shared" si="32"/>
        <v>-</v>
      </c>
      <c r="Q619" s="215" cm="1">
        <f t="array" ref="Q619">IF(P619="-",0,P619/(1+'General inputs'!$H$32)^IFERROR(INDEX('MP Calculations'!$C$40:$C$130,MATCH(F619,'MP Calculations'!$D$40:$D$130,0),0),-1))</f>
        <v>0</v>
      </c>
    </row>
    <row r="620" spans="3:17">
      <c r="C620" s="159"/>
      <c r="D620" s="165"/>
      <c r="E620" s="161"/>
      <c r="F620" s="172" t="str">
        <f t="shared" si="30"/>
        <v>-</v>
      </c>
      <c r="G620" s="68"/>
      <c r="H620" s="167"/>
      <c r="I620" s="173"/>
      <c r="J620" s="168" t="str">
        <f>IFERROR(MIN('MP Calculations'!$E$30/I620,1),"-")</f>
        <v>-</v>
      </c>
      <c r="K620" s="12"/>
      <c r="L620" s="159"/>
      <c r="M620" s="159"/>
      <c r="N620" s="159"/>
      <c r="O620" s="185" t="str">
        <f t="shared" si="31"/>
        <v>-</v>
      </c>
      <c r="P620" s="215" t="str">
        <f t="shared" si="32"/>
        <v>-</v>
      </c>
      <c r="Q620" s="215" cm="1">
        <f t="array" ref="Q620">IF(P620="-",0,P620/(1+'General inputs'!$H$32)^IFERROR(INDEX('MP Calculations'!$C$40:$C$130,MATCH(F620,'MP Calculations'!$D$40:$D$130,0),0),-1))</f>
        <v>0</v>
      </c>
    </row>
    <row r="621" spans="3:17">
      <c r="C621" s="159"/>
      <c r="D621" s="165"/>
      <c r="E621" s="161"/>
      <c r="F621" s="172" t="str">
        <f t="shared" si="30"/>
        <v>-</v>
      </c>
      <c r="G621" s="68"/>
      <c r="H621" s="167"/>
      <c r="I621" s="173"/>
      <c r="J621" s="168" t="str">
        <f>IFERROR(MIN('MP Calculations'!$E$30/I621,1),"-")</f>
        <v>-</v>
      </c>
      <c r="K621" s="12"/>
      <c r="L621" s="159"/>
      <c r="M621" s="159"/>
      <c r="N621" s="159"/>
      <c r="O621" s="185" t="str">
        <f t="shared" si="31"/>
        <v>-</v>
      </c>
      <c r="P621" s="215" t="str">
        <f t="shared" si="32"/>
        <v>-</v>
      </c>
      <c r="Q621" s="215" cm="1">
        <f t="array" ref="Q621">IF(P621="-",0,P621/(1+'General inputs'!$H$32)^IFERROR(INDEX('MP Calculations'!$C$40:$C$130,MATCH(F621,'MP Calculations'!$D$40:$D$130,0),0),-1))</f>
        <v>0</v>
      </c>
    </row>
    <row r="622" spans="3:17">
      <c r="C622" s="159"/>
      <c r="D622" s="165"/>
      <c r="E622" s="161"/>
      <c r="F622" s="172" t="str">
        <f t="shared" si="30"/>
        <v>-</v>
      </c>
      <c r="G622" s="68"/>
      <c r="H622" s="167"/>
      <c r="I622" s="173"/>
      <c r="J622" s="168" t="str">
        <f>IFERROR(MIN('MP Calculations'!$E$30/I622,1),"-")</f>
        <v>-</v>
      </c>
      <c r="K622" s="12"/>
      <c r="L622" s="159"/>
      <c r="M622" s="159"/>
      <c r="N622" s="159"/>
      <c r="O622" s="185" t="str">
        <f t="shared" si="31"/>
        <v>-</v>
      </c>
      <c r="P622" s="215" t="str">
        <f t="shared" si="32"/>
        <v>-</v>
      </c>
      <c r="Q622" s="215" cm="1">
        <f t="array" ref="Q622">IF(P622="-",0,P622/(1+'General inputs'!$H$32)^IFERROR(INDEX('MP Calculations'!$C$40:$C$130,MATCH(F622,'MP Calculations'!$D$40:$D$130,0),0),-1))</f>
        <v>0</v>
      </c>
    </row>
    <row r="623" spans="3:17">
      <c r="C623" s="159"/>
      <c r="D623" s="165"/>
      <c r="E623" s="161"/>
      <c r="F623" s="172" t="str">
        <f t="shared" si="30"/>
        <v>-</v>
      </c>
      <c r="G623" s="68"/>
      <c r="H623" s="167"/>
      <c r="I623" s="173"/>
      <c r="J623" s="168" t="str">
        <f>IFERROR(MIN('MP Calculations'!$E$30/I623,1),"-")</f>
        <v>-</v>
      </c>
      <c r="K623" s="12"/>
      <c r="L623" s="159"/>
      <c r="M623" s="159"/>
      <c r="N623" s="159"/>
      <c r="O623" s="185" t="str">
        <f t="shared" si="31"/>
        <v>-</v>
      </c>
      <c r="P623" s="215" t="str">
        <f t="shared" si="32"/>
        <v>-</v>
      </c>
      <c r="Q623" s="215" cm="1">
        <f t="array" ref="Q623">IF(P623="-",0,P623/(1+'General inputs'!$H$32)^IFERROR(INDEX('MP Calculations'!$C$40:$C$130,MATCH(F623,'MP Calculations'!$D$40:$D$130,0),0),-1))</f>
        <v>0</v>
      </c>
    </row>
    <row r="624" spans="3:17">
      <c r="C624" s="159"/>
      <c r="D624" s="165"/>
      <c r="E624" s="161"/>
      <c r="F624" s="172" t="str">
        <f t="shared" si="30"/>
        <v>-</v>
      </c>
      <c r="G624" s="68"/>
      <c r="H624" s="167"/>
      <c r="I624" s="173"/>
      <c r="J624" s="168" t="str">
        <f>IFERROR(MIN('MP Calculations'!$E$30/I624,1),"-")</f>
        <v>-</v>
      </c>
      <c r="K624" s="12"/>
      <c r="L624" s="159"/>
      <c r="M624" s="159"/>
      <c r="N624" s="159"/>
      <c r="O624" s="185" t="str">
        <f t="shared" si="31"/>
        <v>-</v>
      </c>
      <c r="P624" s="215" t="str">
        <f t="shared" si="32"/>
        <v>-</v>
      </c>
      <c r="Q624" s="215" cm="1">
        <f t="array" ref="Q624">IF(P624="-",0,P624/(1+'General inputs'!$H$32)^IFERROR(INDEX('MP Calculations'!$C$40:$C$130,MATCH(F624,'MP Calculations'!$D$40:$D$130,0),0),-1))</f>
        <v>0</v>
      </c>
    </row>
    <row r="625" spans="3:17">
      <c r="C625" s="159"/>
      <c r="D625" s="165"/>
      <c r="E625" s="161"/>
      <c r="F625" s="172" t="str">
        <f t="shared" si="30"/>
        <v>-</v>
      </c>
      <c r="G625" s="68"/>
      <c r="H625" s="167"/>
      <c r="I625" s="173"/>
      <c r="J625" s="168" t="str">
        <f>IFERROR(MIN('MP Calculations'!$E$30/I625,1),"-")</f>
        <v>-</v>
      </c>
      <c r="K625" s="12"/>
      <c r="L625" s="159"/>
      <c r="M625" s="159"/>
      <c r="N625" s="159"/>
      <c r="O625" s="185" t="str">
        <f t="shared" si="31"/>
        <v>-</v>
      </c>
      <c r="P625" s="215" t="str">
        <f t="shared" si="32"/>
        <v>-</v>
      </c>
      <c r="Q625" s="215" cm="1">
        <f t="array" ref="Q625">IF(P625="-",0,P625/(1+'General inputs'!$H$32)^IFERROR(INDEX('MP Calculations'!$C$40:$C$130,MATCH(F625,'MP Calculations'!$D$40:$D$130,0),0),-1))</f>
        <v>0</v>
      </c>
    </row>
    <row r="626" spans="3:17">
      <c r="C626" s="159"/>
      <c r="D626" s="165"/>
      <c r="E626" s="161"/>
      <c r="F626" s="172" t="str">
        <f t="shared" si="30"/>
        <v>-</v>
      </c>
      <c r="G626" s="68"/>
      <c r="H626" s="167"/>
      <c r="I626" s="173"/>
      <c r="J626" s="168" t="str">
        <f>IFERROR(MIN('MP Calculations'!$E$30/I626,1),"-")</f>
        <v>-</v>
      </c>
      <c r="K626" s="12"/>
      <c r="L626" s="159"/>
      <c r="M626" s="159"/>
      <c r="N626" s="159"/>
      <c r="O626" s="185" t="str">
        <f t="shared" si="31"/>
        <v>-</v>
      </c>
      <c r="P626" s="215" t="str">
        <f t="shared" si="32"/>
        <v>-</v>
      </c>
      <c r="Q626" s="215" cm="1">
        <f t="array" ref="Q626">IF(P626="-",0,P626/(1+'General inputs'!$H$32)^IFERROR(INDEX('MP Calculations'!$C$40:$C$130,MATCH(F626,'MP Calculations'!$D$40:$D$130,0),0),-1))</f>
        <v>0</v>
      </c>
    </row>
    <row r="627" spans="3:17">
      <c r="C627" s="159"/>
      <c r="D627" s="165"/>
      <c r="E627" s="161"/>
      <c r="F627" s="172" t="str">
        <f t="shared" si="30"/>
        <v>-</v>
      </c>
      <c r="G627" s="68"/>
      <c r="H627" s="167"/>
      <c r="I627" s="173"/>
      <c r="J627" s="168" t="str">
        <f>IFERROR(MIN('MP Calculations'!$E$30/I627,1),"-")</f>
        <v>-</v>
      </c>
      <c r="K627" s="12"/>
      <c r="L627" s="159"/>
      <c r="M627" s="159"/>
      <c r="N627" s="159"/>
      <c r="O627" s="185" t="str">
        <f t="shared" si="31"/>
        <v>-</v>
      </c>
      <c r="P627" s="215" t="str">
        <f t="shared" si="32"/>
        <v>-</v>
      </c>
      <c r="Q627" s="215" cm="1">
        <f t="array" ref="Q627">IF(P627="-",0,P627/(1+'General inputs'!$H$32)^IFERROR(INDEX('MP Calculations'!$C$40:$C$130,MATCH(F627,'MP Calculations'!$D$40:$D$130,0),0),-1))</f>
        <v>0</v>
      </c>
    </row>
    <row r="628" spans="3:17">
      <c r="C628" s="159"/>
      <c r="D628" s="165"/>
      <c r="E628" s="161"/>
      <c r="F628" s="172" t="str">
        <f t="shared" si="30"/>
        <v>-</v>
      </c>
      <c r="G628" s="68"/>
      <c r="H628" s="167"/>
      <c r="I628" s="173"/>
      <c r="J628" s="168" t="str">
        <f>IFERROR(MIN('MP Calculations'!$E$30/I628,1),"-")</f>
        <v>-</v>
      </c>
      <c r="K628" s="12"/>
      <c r="L628" s="159"/>
      <c r="M628" s="159"/>
      <c r="N628" s="159"/>
      <c r="O628" s="185" t="str">
        <f t="shared" si="31"/>
        <v>-</v>
      </c>
      <c r="P628" s="215" t="str">
        <f t="shared" si="32"/>
        <v>-</v>
      </c>
      <c r="Q628" s="215" cm="1">
        <f t="array" ref="Q628">IF(P628="-",0,P628/(1+'General inputs'!$H$32)^IFERROR(INDEX('MP Calculations'!$C$40:$C$130,MATCH(F628,'MP Calculations'!$D$40:$D$130,0),0),-1))</f>
        <v>0</v>
      </c>
    </row>
    <row r="629" spans="3:17">
      <c r="C629" s="159"/>
      <c r="D629" s="165"/>
      <c r="E629" s="161"/>
      <c r="F629" s="172" t="str">
        <f t="shared" si="30"/>
        <v>-</v>
      </c>
      <c r="G629" s="68"/>
      <c r="H629" s="167"/>
      <c r="I629" s="173"/>
      <c r="J629" s="168" t="str">
        <f>IFERROR(MIN('MP Calculations'!$E$30/I629,1),"-")</f>
        <v>-</v>
      </c>
      <c r="K629" s="12"/>
      <c r="L629" s="159"/>
      <c r="M629" s="159"/>
      <c r="N629" s="159"/>
      <c r="O629" s="185" t="str">
        <f t="shared" si="31"/>
        <v>-</v>
      </c>
      <c r="P629" s="215" t="str">
        <f t="shared" si="32"/>
        <v>-</v>
      </c>
      <c r="Q629" s="215" cm="1">
        <f t="array" ref="Q629">IF(P629="-",0,P629/(1+'General inputs'!$H$32)^IFERROR(INDEX('MP Calculations'!$C$40:$C$130,MATCH(F629,'MP Calculations'!$D$40:$D$130,0),0),-1))</f>
        <v>0</v>
      </c>
    </row>
    <row r="630" spans="3:17">
      <c r="C630" s="159"/>
      <c r="D630" s="165"/>
      <c r="E630" s="161"/>
      <c r="F630" s="172" t="str">
        <f t="shared" si="30"/>
        <v>-</v>
      </c>
      <c r="G630" s="68"/>
      <c r="H630" s="167"/>
      <c r="I630" s="173"/>
      <c r="J630" s="168" t="str">
        <f>IFERROR(MIN('MP Calculations'!$E$30/I630,1),"-")</f>
        <v>-</v>
      </c>
      <c r="K630" s="12"/>
      <c r="L630" s="159"/>
      <c r="M630" s="159"/>
      <c r="N630" s="159"/>
      <c r="O630" s="185" t="str">
        <f t="shared" si="31"/>
        <v>-</v>
      </c>
      <c r="P630" s="215" t="str">
        <f t="shared" si="32"/>
        <v>-</v>
      </c>
      <c r="Q630" s="215" cm="1">
        <f t="array" ref="Q630">IF(P630="-",0,P630/(1+'General inputs'!$H$32)^IFERROR(INDEX('MP Calculations'!$C$40:$C$130,MATCH(F630,'MP Calculations'!$D$40:$D$130,0),0),-1))</f>
        <v>0</v>
      </c>
    </row>
    <row r="631" spans="3:17">
      <c r="C631" s="159"/>
      <c r="D631" s="165"/>
      <c r="E631" s="161"/>
      <c r="F631" s="172" t="str">
        <f t="shared" si="30"/>
        <v>-</v>
      </c>
      <c r="G631" s="68"/>
      <c r="H631" s="167"/>
      <c r="I631" s="173"/>
      <c r="J631" s="168" t="str">
        <f>IFERROR(MIN('MP Calculations'!$E$30/I631,1),"-")</f>
        <v>-</v>
      </c>
      <c r="K631" s="12"/>
      <c r="L631" s="159"/>
      <c r="M631" s="159"/>
      <c r="N631" s="159"/>
      <c r="O631" s="185" t="str">
        <f t="shared" si="31"/>
        <v>-</v>
      </c>
      <c r="P631" s="215" t="str">
        <f t="shared" si="32"/>
        <v>-</v>
      </c>
      <c r="Q631" s="215" cm="1">
        <f t="array" ref="Q631">IF(P631="-",0,P631/(1+'General inputs'!$H$32)^IFERROR(INDEX('MP Calculations'!$C$40:$C$130,MATCH(F631,'MP Calculations'!$D$40:$D$130,0),0),-1))</f>
        <v>0</v>
      </c>
    </row>
    <row r="632" spans="3:17">
      <c r="C632" s="159"/>
      <c r="D632" s="165"/>
      <c r="E632" s="161"/>
      <c r="F632" s="172" t="str">
        <f t="shared" si="30"/>
        <v>-</v>
      </c>
      <c r="G632" s="68"/>
      <c r="H632" s="167"/>
      <c r="I632" s="173"/>
      <c r="J632" s="168" t="str">
        <f>IFERROR(MIN('MP Calculations'!$E$30/I632,1),"-")</f>
        <v>-</v>
      </c>
      <c r="K632" s="12"/>
      <c r="L632" s="159"/>
      <c r="M632" s="159"/>
      <c r="N632" s="159"/>
      <c r="O632" s="185" t="str">
        <f t="shared" si="31"/>
        <v>-</v>
      </c>
      <c r="P632" s="215" t="str">
        <f t="shared" si="32"/>
        <v>-</v>
      </c>
      <c r="Q632" s="215" cm="1">
        <f t="array" ref="Q632">IF(P632="-",0,P632/(1+'General inputs'!$H$32)^IFERROR(INDEX('MP Calculations'!$C$40:$C$130,MATCH(F632,'MP Calculations'!$D$40:$D$130,0),0),-1))</f>
        <v>0</v>
      </c>
    </row>
    <row r="633" spans="3:17">
      <c r="C633" s="159"/>
      <c r="D633" s="165"/>
      <c r="E633" s="161"/>
      <c r="F633" s="172" t="str">
        <f t="shared" si="30"/>
        <v>-</v>
      </c>
      <c r="G633" s="68"/>
      <c r="H633" s="167"/>
      <c r="I633" s="173"/>
      <c r="J633" s="168" t="str">
        <f>IFERROR(MIN('MP Calculations'!$E$30/I633,1),"-")</f>
        <v>-</v>
      </c>
      <c r="K633" s="12"/>
      <c r="L633" s="159"/>
      <c r="M633" s="159"/>
      <c r="N633" s="159"/>
      <c r="O633" s="185" t="str">
        <f t="shared" si="31"/>
        <v>-</v>
      </c>
      <c r="P633" s="215" t="str">
        <f t="shared" si="32"/>
        <v>-</v>
      </c>
      <c r="Q633" s="215" cm="1">
        <f t="array" ref="Q633">IF(P633="-",0,P633/(1+'General inputs'!$H$32)^IFERROR(INDEX('MP Calculations'!$C$40:$C$130,MATCH(F633,'MP Calculations'!$D$40:$D$130,0),0),-1))</f>
        <v>0</v>
      </c>
    </row>
    <row r="634" spans="3:17">
      <c r="C634" s="159"/>
      <c r="D634" s="165"/>
      <c r="E634" s="161"/>
      <c r="F634" s="172" t="str">
        <f t="shared" si="30"/>
        <v>-</v>
      </c>
      <c r="G634" s="68"/>
      <c r="H634" s="167"/>
      <c r="I634" s="173"/>
      <c r="J634" s="168" t="str">
        <f>IFERROR(MIN('MP Calculations'!$E$30/I634,1),"-")</f>
        <v>-</v>
      </c>
      <c r="K634" s="12"/>
      <c r="L634" s="159"/>
      <c r="M634" s="159"/>
      <c r="N634" s="159"/>
      <c r="O634" s="185" t="str">
        <f t="shared" si="31"/>
        <v>-</v>
      </c>
      <c r="P634" s="215" t="str">
        <f t="shared" si="32"/>
        <v>-</v>
      </c>
      <c r="Q634" s="215" cm="1">
        <f t="array" ref="Q634">IF(P634="-",0,P634/(1+'General inputs'!$H$32)^IFERROR(INDEX('MP Calculations'!$C$40:$C$130,MATCH(F634,'MP Calculations'!$D$40:$D$130,0),0),-1))</f>
        <v>0</v>
      </c>
    </row>
    <row r="635" spans="3:17">
      <c r="C635" s="159"/>
      <c r="D635" s="165"/>
      <c r="E635" s="161"/>
      <c r="F635" s="172" t="str">
        <f t="shared" si="30"/>
        <v>-</v>
      </c>
      <c r="G635" s="68"/>
      <c r="H635" s="167"/>
      <c r="I635" s="173"/>
      <c r="J635" s="168" t="str">
        <f>IFERROR(MIN('MP Calculations'!$E$30/I635,1),"-")</f>
        <v>-</v>
      </c>
      <c r="K635" s="12"/>
      <c r="L635" s="159"/>
      <c r="M635" s="159"/>
      <c r="N635" s="159"/>
      <c r="O635" s="185" t="str">
        <f t="shared" si="31"/>
        <v>-</v>
      </c>
      <c r="P635" s="215" t="str">
        <f t="shared" si="32"/>
        <v>-</v>
      </c>
      <c r="Q635" s="215" cm="1">
        <f t="array" ref="Q635">IF(P635="-",0,P635/(1+'General inputs'!$H$32)^IFERROR(INDEX('MP Calculations'!$C$40:$C$130,MATCH(F635,'MP Calculations'!$D$40:$D$130,0),0),-1))</f>
        <v>0</v>
      </c>
    </row>
    <row r="636" spans="3:17">
      <c r="C636" s="159"/>
      <c r="D636" s="165"/>
      <c r="E636" s="161"/>
      <c r="F636" s="172" t="str">
        <f t="shared" si="30"/>
        <v>-</v>
      </c>
      <c r="G636" s="68"/>
      <c r="H636" s="167"/>
      <c r="I636" s="173"/>
      <c r="J636" s="168" t="str">
        <f>IFERROR(MIN('MP Calculations'!$E$30/I636,1),"-")</f>
        <v>-</v>
      </c>
      <c r="K636" s="12"/>
      <c r="L636" s="159"/>
      <c r="M636" s="159"/>
      <c r="N636" s="159"/>
      <c r="O636" s="185" t="str">
        <f t="shared" si="31"/>
        <v>-</v>
      </c>
      <c r="P636" s="215" t="str">
        <f t="shared" si="32"/>
        <v>-</v>
      </c>
      <c r="Q636" s="215" cm="1">
        <f t="array" ref="Q636">IF(P636="-",0,P636/(1+'General inputs'!$H$32)^IFERROR(INDEX('MP Calculations'!$C$40:$C$130,MATCH(F636,'MP Calculations'!$D$40:$D$130,0),0),-1))</f>
        <v>0</v>
      </c>
    </row>
    <row r="637" spans="3:17">
      <c r="C637" s="159"/>
      <c r="D637" s="165"/>
      <c r="E637" s="161"/>
      <c r="F637" s="172" t="str">
        <f t="shared" si="30"/>
        <v>-</v>
      </c>
      <c r="G637" s="68"/>
      <c r="H637" s="167"/>
      <c r="I637" s="173"/>
      <c r="J637" s="168" t="str">
        <f>IFERROR(MIN('MP Calculations'!$E$30/I637,1),"-")</f>
        <v>-</v>
      </c>
      <c r="K637" s="12"/>
      <c r="L637" s="159"/>
      <c r="M637" s="159"/>
      <c r="N637" s="159"/>
      <c r="O637" s="185" t="str">
        <f t="shared" si="31"/>
        <v>-</v>
      </c>
      <c r="P637" s="215" t="str">
        <f t="shared" si="32"/>
        <v>-</v>
      </c>
      <c r="Q637" s="215" cm="1">
        <f t="array" ref="Q637">IF(P637="-",0,P637/(1+'General inputs'!$H$32)^IFERROR(INDEX('MP Calculations'!$C$40:$C$130,MATCH(F637,'MP Calculations'!$D$40:$D$130,0),0),-1))</f>
        <v>0</v>
      </c>
    </row>
    <row r="638" spans="3:17">
      <c r="C638" s="159"/>
      <c r="D638" s="165"/>
      <c r="E638" s="161"/>
      <c r="F638" s="172" t="str">
        <f t="shared" si="30"/>
        <v>-</v>
      </c>
      <c r="G638" s="68"/>
      <c r="H638" s="167"/>
      <c r="I638" s="173"/>
      <c r="J638" s="168" t="str">
        <f>IFERROR(MIN('MP Calculations'!$E$30/I638,1),"-")</f>
        <v>-</v>
      </c>
      <c r="K638" s="12"/>
      <c r="L638" s="159"/>
      <c r="M638" s="159"/>
      <c r="N638" s="159"/>
      <c r="O638" s="185" t="str">
        <f t="shared" si="31"/>
        <v>-</v>
      </c>
      <c r="P638" s="215" t="str">
        <f t="shared" si="32"/>
        <v>-</v>
      </c>
      <c r="Q638" s="215" cm="1">
        <f t="array" ref="Q638">IF(P638="-",0,P638/(1+'General inputs'!$H$32)^IFERROR(INDEX('MP Calculations'!$C$40:$C$130,MATCH(F638,'MP Calculations'!$D$40:$D$130,0),0),-1))</f>
        <v>0</v>
      </c>
    </row>
    <row r="639" spans="3:17">
      <c r="C639" s="159"/>
      <c r="D639" s="165"/>
      <c r="E639" s="161"/>
      <c r="F639" s="172" t="str">
        <f t="shared" si="30"/>
        <v>-</v>
      </c>
      <c r="G639" s="68"/>
      <c r="H639" s="167"/>
      <c r="I639" s="173"/>
      <c r="J639" s="168" t="str">
        <f>IFERROR(MIN('MP Calculations'!$E$30/I639,1),"-")</f>
        <v>-</v>
      </c>
      <c r="K639" s="12"/>
      <c r="L639" s="159"/>
      <c r="M639" s="159"/>
      <c r="N639" s="159"/>
      <c r="O639" s="185" t="str">
        <f t="shared" si="31"/>
        <v>-</v>
      </c>
      <c r="P639" s="215" t="str">
        <f t="shared" si="32"/>
        <v>-</v>
      </c>
      <c r="Q639" s="215" cm="1">
        <f t="array" ref="Q639">IF(P639="-",0,P639/(1+'General inputs'!$H$32)^IFERROR(INDEX('MP Calculations'!$C$40:$C$130,MATCH(F639,'MP Calculations'!$D$40:$D$130,0),0),-1))</f>
        <v>0</v>
      </c>
    </row>
    <row r="640" spans="3:17">
      <c r="C640" s="159"/>
      <c r="D640" s="165"/>
      <c r="E640" s="161"/>
      <c r="F640" s="172" t="str">
        <f t="shared" si="30"/>
        <v>-</v>
      </c>
      <c r="G640" s="68"/>
      <c r="H640" s="167"/>
      <c r="I640" s="173"/>
      <c r="J640" s="168" t="str">
        <f>IFERROR(MIN('MP Calculations'!$E$30/I640,1),"-")</f>
        <v>-</v>
      </c>
      <c r="K640" s="12"/>
      <c r="L640" s="159"/>
      <c r="M640" s="159"/>
      <c r="N640" s="159"/>
      <c r="O640" s="185" t="str">
        <f t="shared" si="31"/>
        <v>-</v>
      </c>
      <c r="P640" s="215" t="str">
        <f t="shared" si="32"/>
        <v>-</v>
      </c>
      <c r="Q640" s="215" cm="1">
        <f t="array" ref="Q640">IF(P640="-",0,P640/(1+'General inputs'!$H$32)^IFERROR(INDEX('MP Calculations'!$C$40:$C$130,MATCH(F640,'MP Calculations'!$D$40:$D$130,0),0),-1))</f>
        <v>0</v>
      </c>
    </row>
    <row r="641" spans="3:17">
      <c r="C641" s="159"/>
      <c r="D641" s="165"/>
      <c r="E641" s="161"/>
      <c r="F641" s="172" t="str">
        <f t="shared" si="30"/>
        <v>-</v>
      </c>
      <c r="G641" s="68"/>
      <c r="H641" s="167"/>
      <c r="I641" s="173"/>
      <c r="J641" s="168" t="str">
        <f>IFERROR(MIN('MP Calculations'!$E$30/I641,1),"-")</f>
        <v>-</v>
      </c>
      <c r="K641" s="12"/>
      <c r="L641" s="159"/>
      <c r="M641" s="159"/>
      <c r="N641" s="159"/>
      <c r="O641" s="185" t="str">
        <f t="shared" si="31"/>
        <v>-</v>
      </c>
      <c r="P641" s="215" t="str">
        <f t="shared" si="32"/>
        <v>-</v>
      </c>
      <c r="Q641" s="215" cm="1">
        <f t="array" ref="Q641">IF(P641="-",0,P641/(1+'General inputs'!$H$32)^IFERROR(INDEX('MP Calculations'!$C$40:$C$130,MATCH(F641,'MP Calculations'!$D$40:$D$130,0),0),-1))</f>
        <v>0</v>
      </c>
    </row>
    <row r="642" spans="3:17">
      <c r="C642" s="159"/>
      <c r="D642" s="165"/>
      <c r="E642" s="161"/>
      <c r="F642" s="172" t="str">
        <f t="shared" si="30"/>
        <v>-</v>
      </c>
      <c r="G642" s="68"/>
      <c r="H642" s="167"/>
      <c r="I642" s="173"/>
      <c r="J642" s="168" t="str">
        <f>IFERROR(MIN('MP Calculations'!$E$30/I642,1),"-")</f>
        <v>-</v>
      </c>
      <c r="K642" s="12"/>
      <c r="L642" s="159"/>
      <c r="M642" s="159"/>
      <c r="N642" s="159"/>
      <c r="O642" s="185" t="str">
        <f t="shared" si="31"/>
        <v>-</v>
      </c>
      <c r="P642" s="215" t="str">
        <f t="shared" si="32"/>
        <v>-</v>
      </c>
      <c r="Q642" s="215" cm="1">
        <f t="array" ref="Q642">IF(P642="-",0,P642/(1+'General inputs'!$H$32)^IFERROR(INDEX('MP Calculations'!$C$40:$C$130,MATCH(F642,'MP Calculations'!$D$40:$D$130,0),0),-1))</f>
        <v>0</v>
      </c>
    </row>
    <row r="643" spans="3:17">
      <c r="C643" s="159"/>
      <c r="D643" s="165"/>
      <c r="E643" s="161"/>
      <c r="F643" s="172" t="str">
        <f t="shared" si="30"/>
        <v>-</v>
      </c>
      <c r="G643" s="68"/>
      <c r="H643" s="167"/>
      <c r="I643" s="173"/>
      <c r="J643" s="168" t="str">
        <f>IFERROR(MIN('MP Calculations'!$E$30/I643,1),"-")</f>
        <v>-</v>
      </c>
      <c r="K643" s="12"/>
      <c r="L643" s="159"/>
      <c r="M643" s="159"/>
      <c r="N643" s="159"/>
      <c r="O643" s="185" t="str">
        <f t="shared" si="31"/>
        <v>-</v>
      </c>
      <c r="P643" s="215" t="str">
        <f t="shared" si="32"/>
        <v>-</v>
      </c>
      <c r="Q643" s="215" cm="1">
        <f t="array" ref="Q643">IF(P643="-",0,P643/(1+'General inputs'!$H$32)^IFERROR(INDEX('MP Calculations'!$C$40:$C$130,MATCH(F643,'MP Calculations'!$D$40:$D$130,0),0),-1))</f>
        <v>0</v>
      </c>
    </row>
    <row r="644" spans="3:17">
      <c r="C644" s="159"/>
      <c r="D644" s="165"/>
      <c r="E644" s="161"/>
      <c r="F644" s="172" t="str">
        <f t="shared" si="30"/>
        <v>-</v>
      </c>
      <c r="G644" s="68"/>
      <c r="H644" s="167"/>
      <c r="I644" s="173"/>
      <c r="J644" s="168" t="str">
        <f>IFERROR(MIN('MP Calculations'!$E$30/I644,1),"-")</f>
        <v>-</v>
      </c>
      <c r="K644" s="12"/>
      <c r="L644" s="159"/>
      <c r="M644" s="159"/>
      <c r="N644" s="159"/>
      <c r="O644" s="185" t="str">
        <f t="shared" si="31"/>
        <v>-</v>
      </c>
      <c r="P644" s="215" t="str">
        <f t="shared" si="32"/>
        <v>-</v>
      </c>
      <c r="Q644" s="215" cm="1">
        <f t="array" ref="Q644">IF(P644="-",0,P644/(1+'General inputs'!$H$32)^IFERROR(INDEX('MP Calculations'!$C$40:$C$130,MATCH(F644,'MP Calculations'!$D$40:$D$130,0),0),-1))</f>
        <v>0</v>
      </c>
    </row>
    <row r="645" spans="3:17">
      <c r="C645" s="159"/>
      <c r="D645" s="165"/>
      <c r="E645" s="161"/>
      <c r="F645" s="172" t="str">
        <f t="shared" si="30"/>
        <v>-</v>
      </c>
      <c r="G645" s="68"/>
      <c r="H645" s="167"/>
      <c r="I645" s="173"/>
      <c r="J645" s="168" t="str">
        <f>IFERROR(MIN('MP Calculations'!$E$30/I645,1),"-")</f>
        <v>-</v>
      </c>
      <c r="K645" s="12"/>
      <c r="L645" s="159"/>
      <c r="M645" s="159"/>
      <c r="N645" s="159"/>
      <c r="O645" s="185" t="str">
        <f t="shared" si="31"/>
        <v>-</v>
      </c>
      <c r="P645" s="215" t="str">
        <f t="shared" si="32"/>
        <v>-</v>
      </c>
      <c r="Q645" s="215" cm="1">
        <f t="array" ref="Q645">IF(P645="-",0,P645/(1+'General inputs'!$H$32)^IFERROR(INDEX('MP Calculations'!$C$40:$C$130,MATCH(F645,'MP Calculations'!$D$40:$D$130,0),0),-1))</f>
        <v>0</v>
      </c>
    </row>
    <row r="646" spans="3:17">
      <c r="C646" s="159"/>
      <c r="D646" s="165"/>
      <c r="E646" s="161"/>
      <c r="F646" s="172" t="str">
        <f t="shared" si="30"/>
        <v>-</v>
      </c>
      <c r="G646" s="68"/>
      <c r="H646" s="167"/>
      <c r="I646" s="173"/>
      <c r="J646" s="168" t="str">
        <f>IFERROR(MIN('MP Calculations'!$E$30/I646,1),"-")</f>
        <v>-</v>
      </c>
      <c r="K646" s="12"/>
      <c r="L646" s="159"/>
      <c r="M646" s="159"/>
      <c r="N646" s="159"/>
      <c r="O646" s="185" t="str">
        <f t="shared" si="31"/>
        <v>-</v>
      </c>
      <c r="P646" s="215" t="str">
        <f t="shared" si="32"/>
        <v>-</v>
      </c>
      <c r="Q646" s="215" cm="1">
        <f t="array" ref="Q646">IF(P646="-",0,P646/(1+'General inputs'!$H$32)^IFERROR(INDEX('MP Calculations'!$C$40:$C$130,MATCH(F646,'MP Calculations'!$D$40:$D$130,0),0),-1))</f>
        <v>0</v>
      </c>
    </row>
    <row r="647" spans="3:17">
      <c r="C647" s="159"/>
      <c r="D647" s="165"/>
      <c r="E647" s="161"/>
      <c r="F647" s="172" t="str">
        <f t="shared" si="30"/>
        <v>-</v>
      </c>
      <c r="G647" s="68"/>
      <c r="H647" s="167"/>
      <c r="I647" s="173"/>
      <c r="J647" s="168" t="str">
        <f>IFERROR(MIN('MP Calculations'!$E$30/I647,1),"-")</f>
        <v>-</v>
      </c>
      <c r="K647" s="12"/>
      <c r="L647" s="159"/>
      <c r="M647" s="159"/>
      <c r="N647" s="159"/>
      <c r="O647" s="185" t="str">
        <f t="shared" si="31"/>
        <v>-</v>
      </c>
      <c r="P647" s="215" t="str">
        <f t="shared" si="32"/>
        <v>-</v>
      </c>
      <c r="Q647" s="215" cm="1">
        <f t="array" ref="Q647">IF(P647="-",0,P647/(1+'General inputs'!$H$32)^IFERROR(INDEX('MP Calculations'!$C$40:$C$130,MATCH(F647,'MP Calculations'!$D$40:$D$130,0),0),-1))</f>
        <v>0</v>
      </c>
    </row>
    <row r="648" spans="3:17">
      <c r="C648" s="159"/>
      <c r="D648" s="165"/>
      <c r="E648" s="161"/>
      <c r="F648" s="172" t="str">
        <f t="shared" si="30"/>
        <v>-</v>
      </c>
      <c r="G648" s="68"/>
      <c r="H648" s="167"/>
      <c r="I648" s="173"/>
      <c r="J648" s="168" t="str">
        <f>IFERROR(MIN('MP Calculations'!$E$30/I648,1),"-")</f>
        <v>-</v>
      </c>
      <c r="K648" s="12"/>
      <c r="L648" s="159"/>
      <c r="M648" s="159"/>
      <c r="N648" s="159"/>
      <c r="O648" s="185" t="str">
        <f t="shared" si="31"/>
        <v>-</v>
      </c>
      <c r="P648" s="215" t="str">
        <f t="shared" si="32"/>
        <v>-</v>
      </c>
      <c r="Q648" s="215" cm="1">
        <f t="array" ref="Q648">IF(P648="-",0,P648/(1+'General inputs'!$H$32)^IFERROR(INDEX('MP Calculations'!$C$40:$C$130,MATCH(F648,'MP Calculations'!$D$40:$D$130,0),0),-1))</f>
        <v>0</v>
      </c>
    </row>
    <row r="649" spans="3:17">
      <c r="C649" s="159"/>
      <c r="D649" s="165"/>
      <c r="E649" s="161"/>
      <c r="F649" s="172" t="str">
        <f t="shared" si="30"/>
        <v>-</v>
      </c>
      <c r="G649" s="68"/>
      <c r="H649" s="167"/>
      <c r="I649" s="173"/>
      <c r="J649" s="168" t="str">
        <f>IFERROR(MIN('MP Calculations'!$E$30/I649,1),"-")</f>
        <v>-</v>
      </c>
      <c r="K649" s="12"/>
      <c r="L649" s="159"/>
      <c r="M649" s="159"/>
      <c r="N649" s="159"/>
      <c r="O649" s="185" t="str">
        <f t="shared" si="31"/>
        <v>-</v>
      </c>
      <c r="P649" s="215" t="str">
        <f t="shared" si="32"/>
        <v>-</v>
      </c>
      <c r="Q649" s="215" cm="1">
        <f t="array" ref="Q649">IF(P649="-",0,P649/(1+'General inputs'!$H$32)^IFERROR(INDEX('MP Calculations'!$C$40:$C$130,MATCH(F649,'MP Calculations'!$D$40:$D$130,0),0),-1))</f>
        <v>0</v>
      </c>
    </row>
    <row r="650" spans="3:17">
      <c r="C650" s="159"/>
      <c r="D650" s="165"/>
      <c r="E650" s="161"/>
      <c r="F650" s="172" t="str">
        <f t="shared" si="30"/>
        <v>-</v>
      </c>
      <c r="G650" s="68"/>
      <c r="H650" s="167"/>
      <c r="I650" s="173"/>
      <c r="J650" s="168" t="str">
        <f>IFERROR(MIN('MP Calculations'!$E$30/I650,1),"-")</f>
        <v>-</v>
      </c>
      <c r="K650" s="12"/>
      <c r="L650" s="159"/>
      <c r="M650" s="159"/>
      <c r="N650" s="159"/>
      <c r="O650" s="185" t="str">
        <f t="shared" si="31"/>
        <v>-</v>
      </c>
      <c r="P650" s="215" t="str">
        <f t="shared" si="32"/>
        <v>-</v>
      </c>
      <c r="Q650" s="215" cm="1">
        <f t="array" ref="Q650">IF(P650="-",0,P650/(1+'General inputs'!$H$32)^IFERROR(INDEX('MP Calculations'!$C$40:$C$130,MATCH(F650,'MP Calculations'!$D$40:$D$130,0),0),-1))</f>
        <v>0</v>
      </c>
    </row>
    <row r="651" spans="3:17">
      <c r="C651" s="159"/>
      <c r="D651" s="165"/>
      <c r="E651" s="161"/>
      <c r="F651" s="172" t="str">
        <f t="shared" si="30"/>
        <v>-</v>
      </c>
      <c r="G651" s="68"/>
      <c r="H651" s="167"/>
      <c r="I651" s="173"/>
      <c r="J651" s="168" t="str">
        <f>IFERROR(MIN('MP Calculations'!$E$30/I651,1),"-")</f>
        <v>-</v>
      </c>
      <c r="K651" s="12"/>
      <c r="L651" s="159"/>
      <c r="M651" s="159"/>
      <c r="N651" s="159"/>
      <c r="O651" s="185" t="str">
        <f t="shared" si="31"/>
        <v>-</v>
      </c>
      <c r="P651" s="215" t="str">
        <f t="shared" si="32"/>
        <v>-</v>
      </c>
      <c r="Q651" s="215" cm="1">
        <f t="array" ref="Q651">IF(P651="-",0,P651/(1+'General inputs'!$H$32)^IFERROR(INDEX('MP Calculations'!$C$40:$C$130,MATCH(F651,'MP Calculations'!$D$40:$D$130,0),0),-1))</f>
        <v>0</v>
      </c>
    </row>
    <row r="652" spans="3:17">
      <c r="C652" s="159"/>
      <c r="D652" s="165"/>
      <c r="E652" s="161"/>
      <c r="F652" s="172" t="str">
        <f t="shared" si="30"/>
        <v>-</v>
      </c>
      <c r="G652" s="68"/>
      <c r="H652" s="167"/>
      <c r="I652" s="173"/>
      <c r="J652" s="168" t="str">
        <f>IFERROR(MIN('MP Calculations'!$E$30/I652,1),"-")</f>
        <v>-</v>
      </c>
      <c r="K652" s="12"/>
      <c r="L652" s="159"/>
      <c r="M652" s="159"/>
      <c r="N652" s="159"/>
      <c r="O652" s="185" t="str">
        <f t="shared" si="31"/>
        <v>-</v>
      </c>
      <c r="P652" s="215" t="str">
        <f t="shared" si="32"/>
        <v>-</v>
      </c>
      <c r="Q652" s="215" cm="1">
        <f t="array" ref="Q652">IF(P652="-",0,P652/(1+'General inputs'!$H$32)^IFERROR(INDEX('MP Calculations'!$C$40:$C$130,MATCH(F652,'MP Calculations'!$D$40:$D$130,0),0),-1))</f>
        <v>0</v>
      </c>
    </row>
    <row r="653" spans="3:17">
      <c r="C653" s="159"/>
      <c r="D653" s="165"/>
      <c r="E653" s="161"/>
      <c r="F653" s="172" t="str">
        <f t="shared" si="30"/>
        <v>-</v>
      </c>
      <c r="G653" s="68"/>
      <c r="H653" s="167"/>
      <c r="I653" s="173"/>
      <c r="J653" s="168" t="str">
        <f>IFERROR(MIN('MP Calculations'!$E$30/I653,1),"-")</f>
        <v>-</v>
      </c>
      <c r="K653" s="12"/>
      <c r="L653" s="159"/>
      <c r="M653" s="159"/>
      <c r="N653" s="159"/>
      <c r="O653" s="185" t="str">
        <f t="shared" si="31"/>
        <v>-</v>
      </c>
      <c r="P653" s="215" t="str">
        <f t="shared" si="32"/>
        <v>-</v>
      </c>
      <c r="Q653" s="215" cm="1">
        <f t="array" ref="Q653">IF(P653="-",0,P653/(1+'General inputs'!$H$32)^IFERROR(INDEX('MP Calculations'!$C$40:$C$130,MATCH(F653,'MP Calculations'!$D$40:$D$130,0),0),-1))</f>
        <v>0</v>
      </c>
    </row>
    <row r="654" spans="3:17">
      <c r="C654" s="159"/>
      <c r="D654" s="165"/>
      <c r="E654" s="161"/>
      <c r="F654" s="172" t="str">
        <f t="shared" si="30"/>
        <v>-</v>
      </c>
      <c r="G654" s="68"/>
      <c r="H654" s="167"/>
      <c r="I654" s="173"/>
      <c r="J654" s="168" t="str">
        <f>IFERROR(MIN('MP Calculations'!$E$30/I654,1),"-")</f>
        <v>-</v>
      </c>
      <c r="K654" s="12"/>
      <c r="L654" s="159"/>
      <c r="M654" s="159"/>
      <c r="N654" s="159"/>
      <c r="O654" s="185" t="str">
        <f t="shared" si="31"/>
        <v>-</v>
      </c>
      <c r="P654" s="215" t="str">
        <f t="shared" si="32"/>
        <v>-</v>
      </c>
      <c r="Q654" s="215" cm="1">
        <f t="array" ref="Q654">IF(P654="-",0,P654/(1+'General inputs'!$H$32)^IFERROR(INDEX('MP Calculations'!$C$40:$C$130,MATCH(F654,'MP Calculations'!$D$40:$D$130,0),0),-1))</f>
        <v>0</v>
      </c>
    </row>
    <row r="655" spans="3:17">
      <c r="C655" s="159"/>
      <c r="D655" s="165"/>
      <c r="E655" s="161"/>
      <c r="F655" s="172" t="str">
        <f t="shared" si="30"/>
        <v>-</v>
      </c>
      <c r="G655" s="68"/>
      <c r="H655" s="167"/>
      <c r="I655" s="173"/>
      <c r="J655" s="168" t="str">
        <f>IFERROR(MIN('MP Calculations'!$E$30/I655,1),"-")</f>
        <v>-</v>
      </c>
      <c r="K655" s="12"/>
      <c r="L655" s="159"/>
      <c r="M655" s="159"/>
      <c r="N655" s="159"/>
      <c r="O655" s="185" t="str">
        <f t="shared" si="31"/>
        <v>-</v>
      </c>
      <c r="P655" s="215" t="str">
        <f t="shared" si="32"/>
        <v>-</v>
      </c>
      <c r="Q655" s="215" cm="1">
        <f t="array" ref="Q655">IF(P655="-",0,P655/(1+'General inputs'!$H$32)^IFERROR(INDEX('MP Calculations'!$C$40:$C$130,MATCH(F655,'MP Calculations'!$D$40:$D$130,0),0),-1))</f>
        <v>0</v>
      </c>
    </row>
    <row r="656" spans="3:17">
      <c r="C656" s="159"/>
      <c r="D656" s="165"/>
      <c r="E656" s="161"/>
      <c r="F656" s="172" t="str">
        <f t="shared" si="30"/>
        <v>-</v>
      </c>
      <c r="G656" s="68"/>
      <c r="H656" s="167"/>
      <c r="I656" s="173"/>
      <c r="J656" s="168" t="str">
        <f>IFERROR(MIN('MP Calculations'!$E$30/I656,1),"-")</f>
        <v>-</v>
      </c>
      <c r="K656" s="12"/>
      <c r="L656" s="159"/>
      <c r="M656" s="159"/>
      <c r="N656" s="159"/>
      <c r="O656" s="185" t="str">
        <f t="shared" si="31"/>
        <v>-</v>
      </c>
      <c r="P656" s="215" t="str">
        <f t="shared" si="32"/>
        <v>-</v>
      </c>
      <c r="Q656" s="215" cm="1">
        <f t="array" ref="Q656">IF(P656="-",0,P656/(1+'General inputs'!$H$32)^IFERROR(INDEX('MP Calculations'!$C$40:$C$130,MATCH(F656,'MP Calculations'!$D$40:$D$130,0),0),-1))</f>
        <v>0</v>
      </c>
    </row>
    <row r="657" spans="3:17">
      <c r="C657" s="159"/>
      <c r="D657" s="165"/>
      <c r="E657" s="161"/>
      <c r="F657" s="172" t="str">
        <f t="shared" si="30"/>
        <v>-</v>
      </c>
      <c r="G657" s="68"/>
      <c r="H657" s="167"/>
      <c r="I657" s="173"/>
      <c r="J657" s="168" t="str">
        <f>IFERROR(MIN('MP Calculations'!$E$30/I657,1),"-")</f>
        <v>-</v>
      </c>
      <c r="K657" s="12"/>
      <c r="L657" s="159"/>
      <c r="M657" s="159"/>
      <c r="N657" s="159"/>
      <c r="O657" s="185" t="str">
        <f t="shared" si="31"/>
        <v>-</v>
      </c>
      <c r="P657" s="215" t="str">
        <f t="shared" si="32"/>
        <v>-</v>
      </c>
      <c r="Q657" s="215" cm="1">
        <f t="array" ref="Q657">IF(P657="-",0,P657/(1+'General inputs'!$H$32)^IFERROR(INDEX('MP Calculations'!$C$40:$C$130,MATCH(F657,'MP Calculations'!$D$40:$D$130,0),0),-1))</f>
        <v>0</v>
      </c>
    </row>
    <row r="658" spans="3:17">
      <c r="C658" s="159"/>
      <c r="D658" s="165"/>
      <c r="E658" s="161"/>
      <c r="F658" s="172" t="str">
        <f t="shared" si="30"/>
        <v>-</v>
      </c>
      <c r="G658" s="68"/>
      <c r="H658" s="167"/>
      <c r="I658" s="173"/>
      <c r="J658" s="168" t="str">
        <f>IFERROR(MIN('MP Calculations'!$E$30/I658,1),"-")</f>
        <v>-</v>
      </c>
      <c r="K658" s="12"/>
      <c r="L658" s="159"/>
      <c r="M658" s="159"/>
      <c r="N658" s="159"/>
      <c r="O658" s="185" t="str">
        <f t="shared" si="31"/>
        <v>-</v>
      </c>
      <c r="P658" s="215" t="str">
        <f t="shared" si="32"/>
        <v>-</v>
      </c>
      <c r="Q658" s="215" cm="1">
        <f t="array" ref="Q658">IF(P658="-",0,P658/(1+'General inputs'!$H$32)^IFERROR(INDEX('MP Calculations'!$C$40:$C$130,MATCH(F658,'MP Calculations'!$D$40:$D$130,0),0),-1))</f>
        <v>0</v>
      </c>
    </row>
    <row r="659" spans="3:17">
      <c r="C659" s="159"/>
      <c r="D659" s="165"/>
      <c r="E659" s="161"/>
      <c r="F659" s="172" t="str">
        <f t="shared" si="30"/>
        <v>-</v>
      </c>
      <c r="G659" s="68"/>
      <c r="H659" s="167"/>
      <c r="I659" s="173"/>
      <c r="J659" s="168" t="str">
        <f>IFERROR(MIN('MP Calculations'!$E$30/I659,1),"-")</f>
        <v>-</v>
      </c>
      <c r="K659" s="12"/>
      <c r="L659" s="159"/>
      <c r="M659" s="159"/>
      <c r="N659" s="159"/>
      <c r="O659" s="185" t="str">
        <f t="shared" si="31"/>
        <v>-</v>
      </c>
      <c r="P659" s="215" t="str">
        <f t="shared" si="32"/>
        <v>-</v>
      </c>
      <c r="Q659" s="215" cm="1">
        <f t="array" ref="Q659">IF(P659="-",0,P659/(1+'General inputs'!$H$32)^IFERROR(INDEX('MP Calculations'!$C$40:$C$130,MATCH(F659,'MP Calculations'!$D$40:$D$130,0),0),-1))</f>
        <v>0</v>
      </c>
    </row>
    <row r="660" spans="3:17">
      <c r="C660" s="159"/>
      <c r="D660" s="165"/>
      <c r="E660" s="161"/>
      <c r="F660" s="172" t="str">
        <f t="shared" si="30"/>
        <v>-</v>
      </c>
      <c r="G660" s="68"/>
      <c r="H660" s="167"/>
      <c r="I660" s="173"/>
      <c r="J660" s="168" t="str">
        <f>IFERROR(MIN('MP Calculations'!$E$30/I660,1),"-")</f>
        <v>-</v>
      </c>
      <c r="K660" s="12"/>
      <c r="L660" s="159"/>
      <c r="M660" s="159"/>
      <c r="N660" s="159"/>
      <c r="O660" s="185" t="str">
        <f t="shared" si="31"/>
        <v>-</v>
      </c>
      <c r="P660" s="215" t="str">
        <f t="shared" si="32"/>
        <v>-</v>
      </c>
      <c r="Q660" s="215" cm="1">
        <f t="array" ref="Q660">IF(P660="-",0,P660/(1+'General inputs'!$H$32)^IFERROR(INDEX('MP Calculations'!$C$40:$C$130,MATCH(F660,'MP Calculations'!$D$40:$D$130,0),0),-1))</f>
        <v>0</v>
      </c>
    </row>
    <row r="661" spans="3:17">
      <c r="C661" s="159"/>
      <c r="D661" s="165"/>
      <c r="E661" s="161"/>
      <c r="F661" s="172" t="str">
        <f t="shared" si="30"/>
        <v>-</v>
      </c>
      <c r="G661" s="68"/>
      <c r="H661" s="167"/>
      <c r="I661" s="173"/>
      <c r="J661" s="168" t="str">
        <f>IFERROR(MIN('MP Calculations'!$E$30/I661,1),"-")</f>
        <v>-</v>
      </c>
      <c r="K661" s="12"/>
      <c r="L661" s="159"/>
      <c r="M661" s="159"/>
      <c r="N661" s="159"/>
      <c r="O661" s="185" t="str">
        <f t="shared" si="31"/>
        <v>-</v>
      </c>
      <c r="P661" s="215" t="str">
        <f t="shared" si="32"/>
        <v>-</v>
      </c>
      <c r="Q661" s="215" cm="1">
        <f t="array" ref="Q661">IF(P661="-",0,P661/(1+'General inputs'!$H$32)^IFERROR(INDEX('MP Calculations'!$C$40:$C$130,MATCH(F661,'MP Calculations'!$D$40:$D$130,0),0),-1))</f>
        <v>0</v>
      </c>
    </row>
    <row r="662" spans="3:17">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5" t="str">
        <f t="shared" ref="O662:O725" si="34">IF(N662="","-",L662*N662)</f>
        <v>-</v>
      </c>
      <c r="P662" s="215" t="str">
        <f t="shared" ref="P662:P725" si="35">IF(O662="-","-",IF(OR(E662&lt;$E$15,E662&gt;$E$16),0,O662*J662))</f>
        <v>-</v>
      </c>
      <c r="Q662" s="215" cm="1">
        <f t="array" ref="Q662">IF(P662="-",0,P662/(1+'General inputs'!$H$32)^IFERROR(INDEX('MP Calculations'!$C$40:$C$130,MATCH(F662,'MP Calculations'!$D$40:$D$130,0),0),-1))</f>
        <v>0</v>
      </c>
    </row>
    <row r="663" spans="3:17">
      <c r="C663" s="159"/>
      <c r="D663" s="165"/>
      <c r="E663" s="161"/>
      <c r="F663" s="172" t="str">
        <f t="shared" si="33"/>
        <v>-</v>
      </c>
      <c r="G663" s="68"/>
      <c r="H663" s="167"/>
      <c r="I663" s="173"/>
      <c r="J663" s="168" t="str">
        <f>IFERROR(MIN('MP Calculations'!$E$30/I663,1),"-")</f>
        <v>-</v>
      </c>
      <c r="K663" s="12"/>
      <c r="L663" s="159"/>
      <c r="M663" s="159"/>
      <c r="N663" s="159"/>
      <c r="O663" s="185" t="str">
        <f t="shared" si="34"/>
        <v>-</v>
      </c>
      <c r="P663" s="215" t="str">
        <f t="shared" si="35"/>
        <v>-</v>
      </c>
      <c r="Q663" s="215" cm="1">
        <f t="array" ref="Q663">IF(P663="-",0,P663/(1+'General inputs'!$H$32)^IFERROR(INDEX('MP Calculations'!$C$40:$C$130,MATCH(F663,'MP Calculations'!$D$40:$D$130,0),0),-1))</f>
        <v>0</v>
      </c>
    </row>
    <row r="664" spans="3:17">
      <c r="C664" s="159"/>
      <c r="D664" s="165"/>
      <c r="E664" s="161"/>
      <c r="F664" s="172" t="str">
        <f t="shared" si="33"/>
        <v>-</v>
      </c>
      <c r="G664" s="68"/>
      <c r="H664" s="167"/>
      <c r="I664" s="173"/>
      <c r="J664" s="168" t="str">
        <f>IFERROR(MIN('MP Calculations'!$E$30/I664,1),"-")</f>
        <v>-</v>
      </c>
      <c r="K664" s="12"/>
      <c r="L664" s="159"/>
      <c r="M664" s="159"/>
      <c r="N664" s="159"/>
      <c r="O664" s="185" t="str">
        <f t="shared" si="34"/>
        <v>-</v>
      </c>
      <c r="P664" s="215" t="str">
        <f t="shared" si="35"/>
        <v>-</v>
      </c>
      <c r="Q664" s="215" cm="1">
        <f t="array" ref="Q664">IF(P664="-",0,P664/(1+'General inputs'!$H$32)^IFERROR(INDEX('MP Calculations'!$C$40:$C$130,MATCH(F664,'MP Calculations'!$D$40:$D$130,0),0),-1))</f>
        <v>0</v>
      </c>
    </row>
    <row r="665" spans="3:17">
      <c r="C665" s="159"/>
      <c r="D665" s="165"/>
      <c r="E665" s="161"/>
      <c r="F665" s="172" t="str">
        <f t="shared" si="33"/>
        <v>-</v>
      </c>
      <c r="G665" s="68"/>
      <c r="H665" s="167"/>
      <c r="I665" s="173"/>
      <c r="J665" s="168" t="str">
        <f>IFERROR(MIN('MP Calculations'!$E$30/I665,1),"-")</f>
        <v>-</v>
      </c>
      <c r="K665" s="12"/>
      <c r="L665" s="159"/>
      <c r="M665" s="159"/>
      <c r="N665" s="159"/>
      <c r="O665" s="185" t="str">
        <f t="shared" si="34"/>
        <v>-</v>
      </c>
      <c r="P665" s="215" t="str">
        <f t="shared" si="35"/>
        <v>-</v>
      </c>
      <c r="Q665" s="215" cm="1">
        <f t="array" ref="Q665">IF(P665="-",0,P665/(1+'General inputs'!$H$32)^IFERROR(INDEX('MP Calculations'!$C$40:$C$130,MATCH(F665,'MP Calculations'!$D$40:$D$130,0),0),-1))</f>
        <v>0</v>
      </c>
    </row>
    <row r="666" spans="3:17">
      <c r="C666" s="159"/>
      <c r="D666" s="165"/>
      <c r="E666" s="161"/>
      <c r="F666" s="172" t="str">
        <f t="shared" si="33"/>
        <v>-</v>
      </c>
      <c r="G666" s="68"/>
      <c r="H666" s="167"/>
      <c r="I666" s="173"/>
      <c r="J666" s="168" t="str">
        <f>IFERROR(MIN('MP Calculations'!$E$30/I666,1),"-")</f>
        <v>-</v>
      </c>
      <c r="K666" s="12"/>
      <c r="L666" s="159"/>
      <c r="M666" s="159"/>
      <c r="N666" s="159"/>
      <c r="O666" s="185" t="str">
        <f t="shared" si="34"/>
        <v>-</v>
      </c>
      <c r="P666" s="215" t="str">
        <f t="shared" si="35"/>
        <v>-</v>
      </c>
      <c r="Q666" s="215" cm="1">
        <f t="array" ref="Q666">IF(P666="-",0,P666/(1+'General inputs'!$H$32)^IFERROR(INDEX('MP Calculations'!$C$40:$C$130,MATCH(F666,'MP Calculations'!$D$40:$D$130,0),0),-1))</f>
        <v>0</v>
      </c>
    </row>
    <row r="667" spans="3:17">
      <c r="C667" s="159"/>
      <c r="D667" s="165"/>
      <c r="E667" s="161"/>
      <c r="F667" s="172" t="str">
        <f t="shared" si="33"/>
        <v>-</v>
      </c>
      <c r="G667" s="68"/>
      <c r="H667" s="167"/>
      <c r="I667" s="173"/>
      <c r="J667" s="168" t="str">
        <f>IFERROR(MIN('MP Calculations'!$E$30/I667,1),"-")</f>
        <v>-</v>
      </c>
      <c r="K667" s="12"/>
      <c r="L667" s="159"/>
      <c r="M667" s="159"/>
      <c r="N667" s="159"/>
      <c r="O667" s="185" t="str">
        <f t="shared" si="34"/>
        <v>-</v>
      </c>
      <c r="P667" s="215" t="str">
        <f t="shared" si="35"/>
        <v>-</v>
      </c>
      <c r="Q667" s="215" cm="1">
        <f t="array" ref="Q667">IF(P667="-",0,P667/(1+'General inputs'!$H$32)^IFERROR(INDEX('MP Calculations'!$C$40:$C$130,MATCH(F667,'MP Calculations'!$D$40:$D$130,0),0),-1))</f>
        <v>0</v>
      </c>
    </row>
    <row r="668" spans="3:17">
      <c r="C668" s="159"/>
      <c r="D668" s="165"/>
      <c r="E668" s="161"/>
      <c r="F668" s="172" t="str">
        <f t="shared" si="33"/>
        <v>-</v>
      </c>
      <c r="G668" s="68"/>
      <c r="H668" s="167"/>
      <c r="I668" s="173"/>
      <c r="J668" s="168" t="str">
        <f>IFERROR(MIN('MP Calculations'!$E$30/I668,1),"-")</f>
        <v>-</v>
      </c>
      <c r="K668" s="12"/>
      <c r="L668" s="159"/>
      <c r="M668" s="159"/>
      <c r="N668" s="159"/>
      <c r="O668" s="185" t="str">
        <f t="shared" si="34"/>
        <v>-</v>
      </c>
      <c r="P668" s="215" t="str">
        <f t="shared" si="35"/>
        <v>-</v>
      </c>
      <c r="Q668" s="215" cm="1">
        <f t="array" ref="Q668">IF(P668="-",0,P668/(1+'General inputs'!$H$32)^IFERROR(INDEX('MP Calculations'!$C$40:$C$130,MATCH(F668,'MP Calculations'!$D$40:$D$130,0),0),-1))</f>
        <v>0</v>
      </c>
    </row>
    <row r="669" spans="3:17">
      <c r="C669" s="159"/>
      <c r="D669" s="165"/>
      <c r="E669" s="161"/>
      <c r="F669" s="172" t="str">
        <f t="shared" si="33"/>
        <v>-</v>
      </c>
      <c r="G669" s="68"/>
      <c r="H669" s="167"/>
      <c r="I669" s="173"/>
      <c r="J669" s="168" t="str">
        <f>IFERROR(MIN('MP Calculations'!$E$30/I669,1),"-")</f>
        <v>-</v>
      </c>
      <c r="K669" s="12"/>
      <c r="L669" s="159"/>
      <c r="M669" s="159"/>
      <c r="N669" s="159"/>
      <c r="O669" s="185" t="str">
        <f t="shared" si="34"/>
        <v>-</v>
      </c>
      <c r="P669" s="215" t="str">
        <f t="shared" si="35"/>
        <v>-</v>
      </c>
      <c r="Q669" s="215" cm="1">
        <f t="array" ref="Q669">IF(P669="-",0,P669/(1+'General inputs'!$H$32)^IFERROR(INDEX('MP Calculations'!$C$40:$C$130,MATCH(F669,'MP Calculations'!$D$40:$D$130,0),0),-1))</f>
        <v>0</v>
      </c>
    </row>
    <row r="670" spans="3:17">
      <c r="C670" s="159"/>
      <c r="D670" s="165"/>
      <c r="E670" s="161"/>
      <c r="F670" s="172" t="str">
        <f t="shared" si="33"/>
        <v>-</v>
      </c>
      <c r="G670" s="68"/>
      <c r="H670" s="167"/>
      <c r="I670" s="173"/>
      <c r="J670" s="168" t="str">
        <f>IFERROR(MIN('MP Calculations'!$E$30/I670,1),"-")</f>
        <v>-</v>
      </c>
      <c r="K670" s="12"/>
      <c r="L670" s="159"/>
      <c r="M670" s="159"/>
      <c r="N670" s="159"/>
      <c r="O670" s="185" t="str">
        <f t="shared" si="34"/>
        <v>-</v>
      </c>
      <c r="P670" s="215" t="str">
        <f t="shared" si="35"/>
        <v>-</v>
      </c>
      <c r="Q670" s="215" cm="1">
        <f t="array" ref="Q670">IF(P670="-",0,P670/(1+'General inputs'!$H$32)^IFERROR(INDEX('MP Calculations'!$C$40:$C$130,MATCH(F670,'MP Calculations'!$D$40:$D$130,0),0),-1))</f>
        <v>0</v>
      </c>
    </row>
    <row r="671" spans="3:17">
      <c r="C671" s="159"/>
      <c r="D671" s="165"/>
      <c r="E671" s="161"/>
      <c r="F671" s="172" t="str">
        <f t="shared" si="33"/>
        <v>-</v>
      </c>
      <c r="G671" s="68"/>
      <c r="H671" s="167"/>
      <c r="I671" s="173"/>
      <c r="J671" s="168" t="str">
        <f>IFERROR(MIN('MP Calculations'!$E$30/I671,1),"-")</f>
        <v>-</v>
      </c>
      <c r="K671" s="12"/>
      <c r="L671" s="159"/>
      <c r="M671" s="159"/>
      <c r="N671" s="159"/>
      <c r="O671" s="185" t="str">
        <f t="shared" si="34"/>
        <v>-</v>
      </c>
      <c r="P671" s="215" t="str">
        <f t="shared" si="35"/>
        <v>-</v>
      </c>
      <c r="Q671" s="215" cm="1">
        <f t="array" ref="Q671">IF(P671="-",0,P671/(1+'General inputs'!$H$32)^IFERROR(INDEX('MP Calculations'!$C$40:$C$130,MATCH(F671,'MP Calculations'!$D$40:$D$130,0),0),-1))</f>
        <v>0</v>
      </c>
    </row>
    <row r="672" spans="3:17">
      <c r="C672" s="159"/>
      <c r="D672" s="165"/>
      <c r="E672" s="161"/>
      <c r="F672" s="172" t="str">
        <f t="shared" si="33"/>
        <v>-</v>
      </c>
      <c r="G672" s="68"/>
      <c r="H672" s="167"/>
      <c r="I672" s="173"/>
      <c r="J672" s="168" t="str">
        <f>IFERROR(MIN('MP Calculations'!$E$30/I672,1),"-")</f>
        <v>-</v>
      </c>
      <c r="K672" s="12"/>
      <c r="L672" s="159"/>
      <c r="M672" s="159"/>
      <c r="N672" s="159"/>
      <c r="O672" s="185" t="str">
        <f t="shared" si="34"/>
        <v>-</v>
      </c>
      <c r="P672" s="215" t="str">
        <f t="shared" si="35"/>
        <v>-</v>
      </c>
      <c r="Q672" s="215" cm="1">
        <f t="array" ref="Q672">IF(P672="-",0,P672/(1+'General inputs'!$H$32)^IFERROR(INDEX('MP Calculations'!$C$40:$C$130,MATCH(F672,'MP Calculations'!$D$40:$D$130,0),0),-1))</f>
        <v>0</v>
      </c>
    </row>
    <row r="673" spans="3:17">
      <c r="C673" s="159"/>
      <c r="D673" s="165"/>
      <c r="E673" s="161"/>
      <c r="F673" s="172" t="str">
        <f t="shared" si="33"/>
        <v>-</v>
      </c>
      <c r="G673" s="68"/>
      <c r="H673" s="167"/>
      <c r="I673" s="173"/>
      <c r="J673" s="168" t="str">
        <f>IFERROR(MIN('MP Calculations'!$E$30/I673,1),"-")</f>
        <v>-</v>
      </c>
      <c r="K673" s="12"/>
      <c r="L673" s="159"/>
      <c r="M673" s="159"/>
      <c r="N673" s="159"/>
      <c r="O673" s="185" t="str">
        <f t="shared" si="34"/>
        <v>-</v>
      </c>
      <c r="P673" s="215" t="str">
        <f t="shared" si="35"/>
        <v>-</v>
      </c>
      <c r="Q673" s="215" cm="1">
        <f t="array" ref="Q673">IF(P673="-",0,P673/(1+'General inputs'!$H$32)^IFERROR(INDEX('MP Calculations'!$C$40:$C$130,MATCH(F673,'MP Calculations'!$D$40:$D$130,0),0),-1))</f>
        <v>0</v>
      </c>
    </row>
    <row r="674" spans="3:17">
      <c r="C674" s="159"/>
      <c r="D674" s="165"/>
      <c r="E674" s="161"/>
      <c r="F674" s="172" t="str">
        <f t="shared" si="33"/>
        <v>-</v>
      </c>
      <c r="G674" s="68"/>
      <c r="H674" s="167"/>
      <c r="I674" s="173"/>
      <c r="J674" s="168" t="str">
        <f>IFERROR(MIN('MP Calculations'!$E$30/I674,1),"-")</f>
        <v>-</v>
      </c>
      <c r="K674" s="12"/>
      <c r="L674" s="159"/>
      <c r="M674" s="159"/>
      <c r="N674" s="159"/>
      <c r="O674" s="185" t="str">
        <f t="shared" si="34"/>
        <v>-</v>
      </c>
      <c r="P674" s="215" t="str">
        <f t="shared" si="35"/>
        <v>-</v>
      </c>
      <c r="Q674" s="215" cm="1">
        <f t="array" ref="Q674">IF(P674="-",0,P674/(1+'General inputs'!$H$32)^IFERROR(INDEX('MP Calculations'!$C$40:$C$130,MATCH(F674,'MP Calculations'!$D$40:$D$130,0),0),-1))</f>
        <v>0</v>
      </c>
    </row>
    <row r="675" spans="3:17">
      <c r="C675" s="159"/>
      <c r="D675" s="165"/>
      <c r="E675" s="161"/>
      <c r="F675" s="172" t="str">
        <f t="shared" si="33"/>
        <v>-</v>
      </c>
      <c r="G675" s="68"/>
      <c r="H675" s="167"/>
      <c r="I675" s="173"/>
      <c r="J675" s="168" t="str">
        <f>IFERROR(MIN('MP Calculations'!$E$30/I675,1),"-")</f>
        <v>-</v>
      </c>
      <c r="K675" s="12"/>
      <c r="L675" s="159"/>
      <c r="M675" s="159"/>
      <c r="N675" s="159"/>
      <c r="O675" s="185" t="str">
        <f t="shared" si="34"/>
        <v>-</v>
      </c>
      <c r="P675" s="215" t="str">
        <f t="shared" si="35"/>
        <v>-</v>
      </c>
      <c r="Q675" s="215" cm="1">
        <f t="array" ref="Q675">IF(P675="-",0,P675/(1+'General inputs'!$H$32)^IFERROR(INDEX('MP Calculations'!$C$40:$C$130,MATCH(F675,'MP Calculations'!$D$40:$D$130,0),0),-1))</f>
        <v>0</v>
      </c>
    </row>
    <row r="676" spans="3:17">
      <c r="C676" s="159"/>
      <c r="D676" s="165"/>
      <c r="E676" s="161"/>
      <c r="F676" s="172" t="str">
        <f t="shared" si="33"/>
        <v>-</v>
      </c>
      <c r="G676" s="68"/>
      <c r="H676" s="167"/>
      <c r="I676" s="173"/>
      <c r="J676" s="168" t="str">
        <f>IFERROR(MIN('MP Calculations'!$E$30/I676,1),"-")</f>
        <v>-</v>
      </c>
      <c r="K676" s="12"/>
      <c r="L676" s="159"/>
      <c r="M676" s="159"/>
      <c r="N676" s="159"/>
      <c r="O676" s="185" t="str">
        <f t="shared" si="34"/>
        <v>-</v>
      </c>
      <c r="P676" s="215" t="str">
        <f t="shared" si="35"/>
        <v>-</v>
      </c>
      <c r="Q676" s="215" cm="1">
        <f t="array" ref="Q676">IF(P676="-",0,P676/(1+'General inputs'!$H$32)^IFERROR(INDEX('MP Calculations'!$C$40:$C$130,MATCH(F676,'MP Calculations'!$D$40:$D$130,0),0),-1))</f>
        <v>0</v>
      </c>
    </row>
    <row r="677" spans="3:17">
      <c r="C677" s="159"/>
      <c r="D677" s="165"/>
      <c r="E677" s="161"/>
      <c r="F677" s="172" t="str">
        <f t="shared" si="33"/>
        <v>-</v>
      </c>
      <c r="G677" s="68"/>
      <c r="H677" s="167"/>
      <c r="I677" s="173"/>
      <c r="J677" s="168" t="str">
        <f>IFERROR(MIN('MP Calculations'!$E$30/I677,1),"-")</f>
        <v>-</v>
      </c>
      <c r="K677" s="12"/>
      <c r="L677" s="159"/>
      <c r="M677" s="159"/>
      <c r="N677" s="159"/>
      <c r="O677" s="185" t="str">
        <f t="shared" si="34"/>
        <v>-</v>
      </c>
      <c r="P677" s="215" t="str">
        <f t="shared" si="35"/>
        <v>-</v>
      </c>
      <c r="Q677" s="215" cm="1">
        <f t="array" ref="Q677">IF(P677="-",0,P677/(1+'General inputs'!$H$32)^IFERROR(INDEX('MP Calculations'!$C$40:$C$130,MATCH(F677,'MP Calculations'!$D$40:$D$130,0),0),-1))</f>
        <v>0</v>
      </c>
    </row>
    <row r="678" spans="3:17">
      <c r="C678" s="159"/>
      <c r="D678" s="165"/>
      <c r="E678" s="161"/>
      <c r="F678" s="172" t="str">
        <f t="shared" si="33"/>
        <v>-</v>
      </c>
      <c r="G678" s="68"/>
      <c r="H678" s="167"/>
      <c r="I678" s="173"/>
      <c r="J678" s="168" t="str">
        <f>IFERROR(MIN('MP Calculations'!$E$30/I678,1),"-")</f>
        <v>-</v>
      </c>
      <c r="K678" s="12"/>
      <c r="L678" s="159"/>
      <c r="M678" s="159"/>
      <c r="N678" s="159"/>
      <c r="O678" s="185" t="str">
        <f t="shared" si="34"/>
        <v>-</v>
      </c>
      <c r="P678" s="215" t="str">
        <f t="shared" si="35"/>
        <v>-</v>
      </c>
      <c r="Q678" s="215" cm="1">
        <f t="array" ref="Q678">IF(P678="-",0,P678/(1+'General inputs'!$H$32)^IFERROR(INDEX('MP Calculations'!$C$40:$C$130,MATCH(F678,'MP Calculations'!$D$40:$D$130,0),0),-1))</f>
        <v>0</v>
      </c>
    </row>
    <row r="679" spans="3:17">
      <c r="C679" s="159"/>
      <c r="D679" s="165"/>
      <c r="E679" s="161"/>
      <c r="F679" s="172" t="str">
        <f t="shared" si="33"/>
        <v>-</v>
      </c>
      <c r="G679" s="68"/>
      <c r="H679" s="167"/>
      <c r="I679" s="173"/>
      <c r="J679" s="168" t="str">
        <f>IFERROR(MIN('MP Calculations'!$E$30/I679,1),"-")</f>
        <v>-</v>
      </c>
      <c r="K679" s="12"/>
      <c r="L679" s="159"/>
      <c r="M679" s="159"/>
      <c r="N679" s="159"/>
      <c r="O679" s="185" t="str">
        <f t="shared" si="34"/>
        <v>-</v>
      </c>
      <c r="P679" s="215" t="str">
        <f t="shared" si="35"/>
        <v>-</v>
      </c>
      <c r="Q679" s="215" cm="1">
        <f t="array" ref="Q679">IF(P679="-",0,P679/(1+'General inputs'!$H$32)^IFERROR(INDEX('MP Calculations'!$C$40:$C$130,MATCH(F679,'MP Calculations'!$D$40:$D$130,0),0),-1))</f>
        <v>0</v>
      </c>
    </row>
    <row r="680" spans="3:17">
      <c r="C680" s="159"/>
      <c r="D680" s="165"/>
      <c r="E680" s="161"/>
      <c r="F680" s="172" t="str">
        <f t="shared" si="33"/>
        <v>-</v>
      </c>
      <c r="G680" s="68"/>
      <c r="H680" s="167"/>
      <c r="I680" s="173"/>
      <c r="J680" s="168" t="str">
        <f>IFERROR(MIN('MP Calculations'!$E$30/I680,1),"-")</f>
        <v>-</v>
      </c>
      <c r="K680" s="12"/>
      <c r="L680" s="159"/>
      <c r="M680" s="159"/>
      <c r="N680" s="159"/>
      <c r="O680" s="185" t="str">
        <f t="shared" si="34"/>
        <v>-</v>
      </c>
      <c r="P680" s="215" t="str">
        <f t="shared" si="35"/>
        <v>-</v>
      </c>
      <c r="Q680" s="215" cm="1">
        <f t="array" ref="Q680">IF(P680="-",0,P680/(1+'General inputs'!$H$32)^IFERROR(INDEX('MP Calculations'!$C$40:$C$130,MATCH(F680,'MP Calculations'!$D$40:$D$130,0),0),-1))</f>
        <v>0</v>
      </c>
    </row>
    <row r="681" spans="3:17">
      <c r="C681" s="159"/>
      <c r="D681" s="165"/>
      <c r="E681" s="161"/>
      <c r="F681" s="172" t="str">
        <f t="shared" si="33"/>
        <v>-</v>
      </c>
      <c r="G681" s="68"/>
      <c r="H681" s="167"/>
      <c r="I681" s="173"/>
      <c r="J681" s="168" t="str">
        <f>IFERROR(MIN('MP Calculations'!$E$30/I681,1),"-")</f>
        <v>-</v>
      </c>
      <c r="K681" s="12"/>
      <c r="L681" s="159"/>
      <c r="M681" s="159"/>
      <c r="N681" s="159"/>
      <c r="O681" s="185" t="str">
        <f t="shared" si="34"/>
        <v>-</v>
      </c>
      <c r="P681" s="215" t="str">
        <f t="shared" si="35"/>
        <v>-</v>
      </c>
      <c r="Q681" s="215" cm="1">
        <f t="array" ref="Q681">IF(P681="-",0,P681/(1+'General inputs'!$H$32)^IFERROR(INDEX('MP Calculations'!$C$40:$C$130,MATCH(F681,'MP Calculations'!$D$40:$D$130,0),0),-1))</f>
        <v>0</v>
      </c>
    </row>
    <row r="682" spans="3:17">
      <c r="C682" s="159"/>
      <c r="D682" s="165"/>
      <c r="E682" s="161"/>
      <c r="F682" s="172" t="str">
        <f t="shared" si="33"/>
        <v>-</v>
      </c>
      <c r="G682" s="68"/>
      <c r="H682" s="167"/>
      <c r="I682" s="173"/>
      <c r="J682" s="168" t="str">
        <f>IFERROR(MIN('MP Calculations'!$E$30/I682,1),"-")</f>
        <v>-</v>
      </c>
      <c r="K682" s="12"/>
      <c r="L682" s="159"/>
      <c r="M682" s="159"/>
      <c r="N682" s="159"/>
      <c r="O682" s="185" t="str">
        <f t="shared" si="34"/>
        <v>-</v>
      </c>
      <c r="P682" s="215" t="str">
        <f t="shared" si="35"/>
        <v>-</v>
      </c>
      <c r="Q682" s="215" cm="1">
        <f t="array" ref="Q682">IF(P682="-",0,P682/(1+'General inputs'!$H$32)^IFERROR(INDEX('MP Calculations'!$C$40:$C$130,MATCH(F682,'MP Calculations'!$D$40:$D$130,0),0),-1))</f>
        <v>0</v>
      </c>
    </row>
    <row r="683" spans="3:17">
      <c r="C683" s="159"/>
      <c r="D683" s="165"/>
      <c r="E683" s="161"/>
      <c r="F683" s="172" t="str">
        <f t="shared" si="33"/>
        <v>-</v>
      </c>
      <c r="G683" s="68"/>
      <c r="H683" s="167"/>
      <c r="I683" s="173"/>
      <c r="J683" s="168" t="str">
        <f>IFERROR(MIN('MP Calculations'!$E$30/I683,1),"-")</f>
        <v>-</v>
      </c>
      <c r="K683" s="12"/>
      <c r="L683" s="159"/>
      <c r="M683" s="159"/>
      <c r="N683" s="159"/>
      <c r="O683" s="185" t="str">
        <f t="shared" si="34"/>
        <v>-</v>
      </c>
      <c r="P683" s="215" t="str">
        <f t="shared" si="35"/>
        <v>-</v>
      </c>
      <c r="Q683" s="215" cm="1">
        <f t="array" ref="Q683">IF(P683="-",0,P683/(1+'General inputs'!$H$32)^IFERROR(INDEX('MP Calculations'!$C$40:$C$130,MATCH(F683,'MP Calculations'!$D$40:$D$130,0),0),-1))</f>
        <v>0</v>
      </c>
    </row>
    <row r="684" spans="3:17">
      <c r="C684" s="159"/>
      <c r="D684" s="165"/>
      <c r="E684" s="161"/>
      <c r="F684" s="172" t="str">
        <f t="shared" si="33"/>
        <v>-</v>
      </c>
      <c r="G684" s="68"/>
      <c r="H684" s="167"/>
      <c r="I684" s="173"/>
      <c r="J684" s="168" t="str">
        <f>IFERROR(MIN('MP Calculations'!$E$30/I684,1),"-")</f>
        <v>-</v>
      </c>
      <c r="K684" s="12"/>
      <c r="L684" s="159"/>
      <c r="M684" s="159"/>
      <c r="N684" s="159"/>
      <c r="O684" s="185" t="str">
        <f t="shared" si="34"/>
        <v>-</v>
      </c>
      <c r="P684" s="215" t="str">
        <f t="shared" si="35"/>
        <v>-</v>
      </c>
      <c r="Q684" s="215" cm="1">
        <f t="array" ref="Q684">IF(P684="-",0,P684/(1+'General inputs'!$H$32)^IFERROR(INDEX('MP Calculations'!$C$40:$C$130,MATCH(F684,'MP Calculations'!$D$40:$D$130,0),0),-1))</f>
        <v>0</v>
      </c>
    </row>
    <row r="685" spans="3:17">
      <c r="C685" s="159"/>
      <c r="D685" s="165"/>
      <c r="E685" s="161"/>
      <c r="F685" s="172" t="str">
        <f t="shared" si="33"/>
        <v>-</v>
      </c>
      <c r="G685" s="68"/>
      <c r="H685" s="167"/>
      <c r="I685" s="173"/>
      <c r="J685" s="168" t="str">
        <f>IFERROR(MIN('MP Calculations'!$E$30/I685,1),"-")</f>
        <v>-</v>
      </c>
      <c r="K685" s="12"/>
      <c r="L685" s="159"/>
      <c r="M685" s="159"/>
      <c r="N685" s="159"/>
      <c r="O685" s="185" t="str">
        <f t="shared" si="34"/>
        <v>-</v>
      </c>
      <c r="P685" s="215" t="str">
        <f t="shared" si="35"/>
        <v>-</v>
      </c>
      <c r="Q685" s="215" cm="1">
        <f t="array" ref="Q685">IF(P685="-",0,P685/(1+'General inputs'!$H$32)^IFERROR(INDEX('MP Calculations'!$C$40:$C$130,MATCH(F685,'MP Calculations'!$D$40:$D$130,0),0),-1))</f>
        <v>0</v>
      </c>
    </row>
    <row r="686" spans="3:17">
      <c r="C686" s="159"/>
      <c r="D686" s="165"/>
      <c r="E686" s="161"/>
      <c r="F686" s="172" t="str">
        <f t="shared" si="33"/>
        <v>-</v>
      </c>
      <c r="G686" s="68"/>
      <c r="H686" s="167"/>
      <c r="I686" s="173"/>
      <c r="J686" s="168" t="str">
        <f>IFERROR(MIN('MP Calculations'!$E$30/I686,1),"-")</f>
        <v>-</v>
      </c>
      <c r="K686" s="12"/>
      <c r="L686" s="159"/>
      <c r="M686" s="159"/>
      <c r="N686" s="159"/>
      <c r="O686" s="185" t="str">
        <f t="shared" si="34"/>
        <v>-</v>
      </c>
      <c r="P686" s="215" t="str">
        <f t="shared" si="35"/>
        <v>-</v>
      </c>
      <c r="Q686" s="215" cm="1">
        <f t="array" ref="Q686">IF(P686="-",0,P686/(1+'General inputs'!$H$32)^IFERROR(INDEX('MP Calculations'!$C$40:$C$130,MATCH(F686,'MP Calculations'!$D$40:$D$130,0),0),-1))</f>
        <v>0</v>
      </c>
    </row>
    <row r="687" spans="3:17">
      <c r="C687" s="159"/>
      <c r="D687" s="165"/>
      <c r="E687" s="161"/>
      <c r="F687" s="172" t="str">
        <f t="shared" si="33"/>
        <v>-</v>
      </c>
      <c r="G687" s="68"/>
      <c r="H687" s="167"/>
      <c r="I687" s="173"/>
      <c r="J687" s="168" t="str">
        <f>IFERROR(MIN('MP Calculations'!$E$30/I687,1),"-")</f>
        <v>-</v>
      </c>
      <c r="K687" s="12"/>
      <c r="L687" s="159"/>
      <c r="M687" s="159"/>
      <c r="N687" s="159"/>
      <c r="O687" s="185" t="str">
        <f t="shared" si="34"/>
        <v>-</v>
      </c>
      <c r="P687" s="215" t="str">
        <f t="shared" si="35"/>
        <v>-</v>
      </c>
      <c r="Q687" s="215" cm="1">
        <f t="array" ref="Q687">IF(P687="-",0,P687/(1+'General inputs'!$H$32)^IFERROR(INDEX('MP Calculations'!$C$40:$C$130,MATCH(F687,'MP Calculations'!$D$40:$D$130,0),0),-1))</f>
        <v>0</v>
      </c>
    </row>
    <row r="688" spans="3:17">
      <c r="C688" s="159"/>
      <c r="D688" s="165"/>
      <c r="E688" s="161"/>
      <c r="F688" s="172" t="str">
        <f t="shared" si="33"/>
        <v>-</v>
      </c>
      <c r="G688" s="68"/>
      <c r="H688" s="167"/>
      <c r="I688" s="173"/>
      <c r="J688" s="168" t="str">
        <f>IFERROR(MIN('MP Calculations'!$E$30/I688,1),"-")</f>
        <v>-</v>
      </c>
      <c r="K688" s="12"/>
      <c r="L688" s="159"/>
      <c r="M688" s="159"/>
      <c r="N688" s="159"/>
      <c r="O688" s="185" t="str">
        <f t="shared" si="34"/>
        <v>-</v>
      </c>
      <c r="P688" s="215" t="str">
        <f t="shared" si="35"/>
        <v>-</v>
      </c>
      <c r="Q688" s="215" cm="1">
        <f t="array" ref="Q688">IF(P688="-",0,P688/(1+'General inputs'!$H$32)^IFERROR(INDEX('MP Calculations'!$C$40:$C$130,MATCH(F688,'MP Calculations'!$D$40:$D$130,0),0),-1))</f>
        <v>0</v>
      </c>
    </row>
    <row r="689" spans="3:17">
      <c r="C689" s="159"/>
      <c r="D689" s="165"/>
      <c r="E689" s="161"/>
      <c r="F689" s="172" t="str">
        <f t="shared" si="33"/>
        <v>-</v>
      </c>
      <c r="G689" s="68"/>
      <c r="H689" s="167"/>
      <c r="I689" s="173"/>
      <c r="J689" s="168" t="str">
        <f>IFERROR(MIN('MP Calculations'!$E$30/I689,1),"-")</f>
        <v>-</v>
      </c>
      <c r="K689" s="12"/>
      <c r="L689" s="159"/>
      <c r="M689" s="159"/>
      <c r="N689" s="159"/>
      <c r="O689" s="185" t="str">
        <f t="shared" si="34"/>
        <v>-</v>
      </c>
      <c r="P689" s="215" t="str">
        <f t="shared" si="35"/>
        <v>-</v>
      </c>
      <c r="Q689" s="215" cm="1">
        <f t="array" ref="Q689">IF(P689="-",0,P689/(1+'General inputs'!$H$32)^IFERROR(INDEX('MP Calculations'!$C$40:$C$130,MATCH(F689,'MP Calculations'!$D$40:$D$130,0),0),-1))</f>
        <v>0</v>
      </c>
    </row>
    <row r="690" spans="3:17">
      <c r="C690" s="159"/>
      <c r="D690" s="165"/>
      <c r="E690" s="161"/>
      <c r="F690" s="172" t="str">
        <f t="shared" si="33"/>
        <v>-</v>
      </c>
      <c r="G690" s="68"/>
      <c r="H690" s="167"/>
      <c r="I690" s="173"/>
      <c r="J690" s="168" t="str">
        <f>IFERROR(MIN('MP Calculations'!$E$30/I690,1),"-")</f>
        <v>-</v>
      </c>
      <c r="K690" s="12"/>
      <c r="L690" s="159"/>
      <c r="M690" s="159"/>
      <c r="N690" s="159"/>
      <c r="O690" s="185" t="str">
        <f t="shared" si="34"/>
        <v>-</v>
      </c>
      <c r="P690" s="215" t="str">
        <f t="shared" si="35"/>
        <v>-</v>
      </c>
      <c r="Q690" s="215" cm="1">
        <f t="array" ref="Q690">IF(P690="-",0,P690/(1+'General inputs'!$H$32)^IFERROR(INDEX('MP Calculations'!$C$40:$C$130,MATCH(F690,'MP Calculations'!$D$40:$D$130,0),0),-1))</f>
        <v>0</v>
      </c>
    </row>
    <row r="691" spans="3:17">
      <c r="C691" s="159"/>
      <c r="D691" s="165"/>
      <c r="E691" s="161"/>
      <c r="F691" s="172" t="str">
        <f t="shared" si="33"/>
        <v>-</v>
      </c>
      <c r="G691" s="68"/>
      <c r="H691" s="167"/>
      <c r="I691" s="173"/>
      <c r="J691" s="168" t="str">
        <f>IFERROR(MIN('MP Calculations'!$E$30/I691,1),"-")</f>
        <v>-</v>
      </c>
      <c r="K691" s="12"/>
      <c r="L691" s="159"/>
      <c r="M691" s="159"/>
      <c r="N691" s="159"/>
      <c r="O691" s="185" t="str">
        <f t="shared" si="34"/>
        <v>-</v>
      </c>
      <c r="P691" s="215" t="str">
        <f t="shared" si="35"/>
        <v>-</v>
      </c>
      <c r="Q691" s="215" cm="1">
        <f t="array" ref="Q691">IF(P691="-",0,P691/(1+'General inputs'!$H$32)^IFERROR(INDEX('MP Calculations'!$C$40:$C$130,MATCH(F691,'MP Calculations'!$D$40:$D$130,0),0),-1))</f>
        <v>0</v>
      </c>
    </row>
    <row r="692" spans="3:17">
      <c r="C692" s="159"/>
      <c r="D692" s="165"/>
      <c r="E692" s="161"/>
      <c r="F692" s="172" t="str">
        <f t="shared" si="33"/>
        <v>-</v>
      </c>
      <c r="G692" s="68"/>
      <c r="H692" s="167"/>
      <c r="I692" s="173"/>
      <c r="J692" s="168" t="str">
        <f>IFERROR(MIN('MP Calculations'!$E$30/I692,1),"-")</f>
        <v>-</v>
      </c>
      <c r="K692" s="12"/>
      <c r="L692" s="159"/>
      <c r="M692" s="159"/>
      <c r="N692" s="159"/>
      <c r="O692" s="185" t="str">
        <f t="shared" si="34"/>
        <v>-</v>
      </c>
      <c r="P692" s="215" t="str">
        <f t="shared" si="35"/>
        <v>-</v>
      </c>
      <c r="Q692" s="215" cm="1">
        <f t="array" ref="Q692">IF(P692="-",0,P692/(1+'General inputs'!$H$32)^IFERROR(INDEX('MP Calculations'!$C$40:$C$130,MATCH(F692,'MP Calculations'!$D$40:$D$130,0),0),-1))</f>
        <v>0</v>
      </c>
    </row>
    <row r="693" spans="3:17">
      <c r="C693" s="159"/>
      <c r="D693" s="165"/>
      <c r="E693" s="161"/>
      <c r="F693" s="172" t="str">
        <f t="shared" si="33"/>
        <v>-</v>
      </c>
      <c r="G693" s="68"/>
      <c r="H693" s="167"/>
      <c r="I693" s="173"/>
      <c r="J693" s="168" t="str">
        <f>IFERROR(MIN('MP Calculations'!$E$30/I693,1),"-")</f>
        <v>-</v>
      </c>
      <c r="K693" s="12"/>
      <c r="L693" s="159"/>
      <c r="M693" s="159"/>
      <c r="N693" s="159"/>
      <c r="O693" s="185" t="str">
        <f t="shared" si="34"/>
        <v>-</v>
      </c>
      <c r="P693" s="215" t="str">
        <f t="shared" si="35"/>
        <v>-</v>
      </c>
      <c r="Q693" s="215" cm="1">
        <f t="array" ref="Q693">IF(P693="-",0,P693/(1+'General inputs'!$H$32)^IFERROR(INDEX('MP Calculations'!$C$40:$C$130,MATCH(F693,'MP Calculations'!$D$40:$D$130,0),0),-1))</f>
        <v>0</v>
      </c>
    </row>
    <row r="694" spans="3:17">
      <c r="C694" s="159"/>
      <c r="D694" s="165"/>
      <c r="E694" s="161"/>
      <c r="F694" s="172" t="str">
        <f t="shared" si="33"/>
        <v>-</v>
      </c>
      <c r="G694" s="68"/>
      <c r="H694" s="167"/>
      <c r="I694" s="173"/>
      <c r="J694" s="168" t="str">
        <f>IFERROR(MIN('MP Calculations'!$E$30/I694,1),"-")</f>
        <v>-</v>
      </c>
      <c r="K694" s="12"/>
      <c r="L694" s="159"/>
      <c r="M694" s="159"/>
      <c r="N694" s="159"/>
      <c r="O694" s="185" t="str">
        <f t="shared" si="34"/>
        <v>-</v>
      </c>
      <c r="P694" s="215" t="str">
        <f t="shared" si="35"/>
        <v>-</v>
      </c>
      <c r="Q694" s="215" cm="1">
        <f t="array" ref="Q694">IF(P694="-",0,P694/(1+'General inputs'!$H$32)^IFERROR(INDEX('MP Calculations'!$C$40:$C$130,MATCH(F694,'MP Calculations'!$D$40:$D$130,0),0),-1))</f>
        <v>0</v>
      </c>
    </row>
    <row r="695" spans="3:17">
      <c r="C695" s="159"/>
      <c r="D695" s="165"/>
      <c r="E695" s="161"/>
      <c r="F695" s="172" t="str">
        <f t="shared" si="33"/>
        <v>-</v>
      </c>
      <c r="G695" s="68"/>
      <c r="H695" s="167"/>
      <c r="I695" s="173"/>
      <c r="J695" s="168" t="str">
        <f>IFERROR(MIN('MP Calculations'!$E$30/I695,1),"-")</f>
        <v>-</v>
      </c>
      <c r="K695" s="12"/>
      <c r="L695" s="159"/>
      <c r="M695" s="159"/>
      <c r="N695" s="159"/>
      <c r="O695" s="185" t="str">
        <f t="shared" si="34"/>
        <v>-</v>
      </c>
      <c r="P695" s="215" t="str">
        <f t="shared" si="35"/>
        <v>-</v>
      </c>
      <c r="Q695" s="215" cm="1">
        <f t="array" ref="Q695">IF(P695="-",0,P695/(1+'General inputs'!$H$32)^IFERROR(INDEX('MP Calculations'!$C$40:$C$130,MATCH(F695,'MP Calculations'!$D$40:$D$130,0),0),-1))</f>
        <v>0</v>
      </c>
    </row>
    <row r="696" spans="3:17">
      <c r="C696" s="159"/>
      <c r="D696" s="165"/>
      <c r="E696" s="161"/>
      <c r="F696" s="172" t="str">
        <f t="shared" si="33"/>
        <v>-</v>
      </c>
      <c r="G696" s="68"/>
      <c r="H696" s="167"/>
      <c r="I696" s="173"/>
      <c r="J696" s="168" t="str">
        <f>IFERROR(MIN('MP Calculations'!$E$30/I696,1),"-")</f>
        <v>-</v>
      </c>
      <c r="K696" s="12"/>
      <c r="L696" s="159"/>
      <c r="M696" s="159"/>
      <c r="N696" s="159"/>
      <c r="O696" s="185" t="str">
        <f t="shared" si="34"/>
        <v>-</v>
      </c>
      <c r="P696" s="215" t="str">
        <f t="shared" si="35"/>
        <v>-</v>
      </c>
      <c r="Q696" s="215" cm="1">
        <f t="array" ref="Q696">IF(P696="-",0,P696/(1+'General inputs'!$H$32)^IFERROR(INDEX('MP Calculations'!$C$40:$C$130,MATCH(F696,'MP Calculations'!$D$40:$D$130,0),0),-1))</f>
        <v>0</v>
      </c>
    </row>
    <row r="697" spans="3:17">
      <c r="C697" s="159"/>
      <c r="D697" s="165"/>
      <c r="E697" s="161"/>
      <c r="F697" s="172" t="str">
        <f t="shared" si="33"/>
        <v>-</v>
      </c>
      <c r="G697" s="68"/>
      <c r="H697" s="167"/>
      <c r="I697" s="173"/>
      <c r="J697" s="168" t="str">
        <f>IFERROR(MIN('MP Calculations'!$E$30/I697,1),"-")</f>
        <v>-</v>
      </c>
      <c r="K697" s="12"/>
      <c r="L697" s="159"/>
      <c r="M697" s="159"/>
      <c r="N697" s="159"/>
      <c r="O697" s="185" t="str">
        <f t="shared" si="34"/>
        <v>-</v>
      </c>
      <c r="P697" s="215" t="str">
        <f t="shared" si="35"/>
        <v>-</v>
      </c>
      <c r="Q697" s="215" cm="1">
        <f t="array" ref="Q697">IF(P697="-",0,P697/(1+'General inputs'!$H$32)^IFERROR(INDEX('MP Calculations'!$C$40:$C$130,MATCH(F697,'MP Calculations'!$D$40:$D$130,0),0),-1))</f>
        <v>0</v>
      </c>
    </row>
    <row r="698" spans="3:17">
      <c r="C698" s="159"/>
      <c r="D698" s="165"/>
      <c r="E698" s="161"/>
      <c r="F698" s="172" t="str">
        <f t="shared" si="33"/>
        <v>-</v>
      </c>
      <c r="G698" s="68"/>
      <c r="H698" s="167"/>
      <c r="I698" s="173"/>
      <c r="J698" s="168" t="str">
        <f>IFERROR(MIN('MP Calculations'!$E$30/I698,1),"-")</f>
        <v>-</v>
      </c>
      <c r="K698" s="12"/>
      <c r="L698" s="159"/>
      <c r="M698" s="159"/>
      <c r="N698" s="159"/>
      <c r="O698" s="185" t="str">
        <f t="shared" si="34"/>
        <v>-</v>
      </c>
      <c r="P698" s="215" t="str">
        <f t="shared" si="35"/>
        <v>-</v>
      </c>
      <c r="Q698" s="215" cm="1">
        <f t="array" ref="Q698">IF(P698="-",0,P698/(1+'General inputs'!$H$32)^IFERROR(INDEX('MP Calculations'!$C$40:$C$130,MATCH(F698,'MP Calculations'!$D$40:$D$130,0),0),-1))</f>
        <v>0</v>
      </c>
    </row>
    <row r="699" spans="3:17">
      <c r="C699" s="159"/>
      <c r="D699" s="165"/>
      <c r="E699" s="161"/>
      <c r="F699" s="172" t="str">
        <f t="shared" si="33"/>
        <v>-</v>
      </c>
      <c r="G699" s="68"/>
      <c r="H699" s="167"/>
      <c r="I699" s="173"/>
      <c r="J699" s="168" t="str">
        <f>IFERROR(MIN('MP Calculations'!$E$30/I699,1),"-")</f>
        <v>-</v>
      </c>
      <c r="K699" s="12"/>
      <c r="L699" s="159"/>
      <c r="M699" s="159"/>
      <c r="N699" s="159"/>
      <c r="O699" s="185" t="str">
        <f t="shared" si="34"/>
        <v>-</v>
      </c>
      <c r="P699" s="215" t="str">
        <f t="shared" si="35"/>
        <v>-</v>
      </c>
      <c r="Q699" s="215" cm="1">
        <f t="array" ref="Q699">IF(P699="-",0,P699/(1+'General inputs'!$H$32)^IFERROR(INDEX('MP Calculations'!$C$40:$C$130,MATCH(F699,'MP Calculations'!$D$40:$D$130,0),0),-1))</f>
        <v>0</v>
      </c>
    </row>
    <row r="700" spans="3:17">
      <c r="C700" s="159"/>
      <c r="D700" s="165"/>
      <c r="E700" s="161"/>
      <c r="F700" s="172" t="str">
        <f t="shared" si="33"/>
        <v>-</v>
      </c>
      <c r="G700" s="68"/>
      <c r="H700" s="167"/>
      <c r="I700" s="173"/>
      <c r="J700" s="168" t="str">
        <f>IFERROR(MIN('MP Calculations'!$E$30/I700,1),"-")</f>
        <v>-</v>
      </c>
      <c r="K700" s="12"/>
      <c r="L700" s="159"/>
      <c r="M700" s="159"/>
      <c r="N700" s="159"/>
      <c r="O700" s="185" t="str">
        <f t="shared" si="34"/>
        <v>-</v>
      </c>
      <c r="P700" s="215" t="str">
        <f t="shared" si="35"/>
        <v>-</v>
      </c>
      <c r="Q700" s="215" cm="1">
        <f t="array" ref="Q700">IF(P700="-",0,P700/(1+'General inputs'!$H$32)^IFERROR(INDEX('MP Calculations'!$C$40:$C$130,MATCH(F700,'MP Calculations'!$D$40:$D$130,0),0),-1))</f>
        <v>0</v>
      </c>
    </row>
    <row r="701" spans="3:17">
      <c r="C701" s="159"/>
      <c r="D701" s="165"/>
      <c r="E701" s="161"/>
      <c r="F701" s="172" t="str">
        <f t="shared" si="33"/>
        <v>-</v>
      </c>
      <c r="G701" s="68"/>
      <c r="H701" s="167"/>
      <c r="I701" s="173"/>
      <c r="J701" s="168" t="str">
        <f>IFERROR(MIN('MP Calculations'!$E$30/I701,1),"-")</f>
        <v>-</v>
      </c>
      <c r="K701" s="12"/>
      <c r="L701" s="159"/>
      <c r="M701" s="159"/>
      <c r="N701" s="159"/>
      <c r="O701" s="185" t="str">
        <f t="shared" si="34"/>
        <v>-</v>
      </c>
      <c r="P701" s="215" t="str">
        <f t="shared" si="35"/>
        <v>-</v>
      </c>
      <c r="Q701" s="215" cm="1">
        <f t="array" ref="Q701">IF(P701="-",0,P701/(1+'General inputs'!$H$32)^IFERROR(INDEX('MP Calculations'!$C$40:$C$130,MATCH(F701,'MP Calculations'!$D$40:$D$130,0),0),-1))</f>
        <v>0</v>
      </c>
    </row>
    <row r="702" spans="3:17">
      <c r="C702" s="159"/>
      <c r="D702" s="165"/>
      <c r="E702" s="161"/>
      <c r="F702" s="172" t="str">
        <f t="shared" si="33"/>
        <v>-</v>
      </c>
      <c r="G702" s="68"/>
      <c r="H702" s="167"/>
      <c r="I702" s="173"/>
      <c r="J702" s="168" t="str">
        <f>IFERROR(MIN('MP Calculations'!$E$30/I702,1),"-")</f>
        <v>-</v>
      </c>
      <c r="K702" s="12"/>
      <c r="L702" s="159"/>
      <c r="M702" s="159"/>
      <c r="N702" s="159"/>
      <c r="O702" s="185" t="str">
        <f t="shared" si="34"/>
        <v>-</v>
      </c>
      <c r="P702" s="215" t="str">
        <f t="shared" si="35"/>
        <v>-</v>
      </c>
      <c r="Q702" s="215" cm="1">
        <f t="array" ref="Q702">IF(P702="-",0,P702/(1+'General inputs'!$H$32)^IFERROR(INDEX('MP Calculations'!$C$40:$C$130,MATCH(F702,'MP Calculations'!$D$40:$D$130,0),0),-1))</f>
        <v>0</v>
      </c>
    </row>
    <row r="703" spans="3:17">
      <c r="C703" s="159"/>
      <c r="D703" s="165"/>
      <c r="E703" s="161"/>
      <c r="F703" s="172" t="str">
        <f t="shared" si="33"/>
        <v>-</v>
      </c>
      <c r="G703" s="68"/>
      <c r="H703" s="167"/>
      <c r="I703" s="173"/>
      <c r="J703" s="168" t="str">
        <f>IFERROR(MIN('MP Calculations'!$E$30/I703,1),"-")</f>
        <v>-</v>
      </c>
      <c r="K703" s="12"/>
      <c r="L703" s="159"/>
      <c r="M703" s="159"/>
      <c r="N703" s="159"/>
      <c r="O703" s="185" t="str">
        <f t="shared" si="34"/>
        <v>-</v>
      </c>
      <c r="P703" s="215" t="str">
        <f t="shared" si="35"/>
        <v>-</v>
      </c>
      <c r="Q703" s="215" cm="1">
        <f t="array" ref="Q703">IF(P703="-",0,P703/(1+'General inputs'!$H$32)^IFERROR(INDEX('MP Calculations'!$C$40:$C$130,MATCH(F703,'MP Calculations'!$D$40:$D$130,0),0),-1))</f>
        <v>0</v>
      </c>
    </row>
    <row r="704" spans="3:17">
      <c r="C704" s="159"/>
      <c r="D704" s="165"/>
      <c r="E704" s="161"/>
      <c r="F704" s="172" t="str">
        <f t="shared" si="33"/>
        <v>-</v>
      </c>
      <c r="G704" s="68"/>
      <c r="H704" s="167"/>
      <c r="I704" s="173"/>
      <c r="J704" s="168" t="str">
        <f>IFERROR(MIN('MP Calculations'!$E$30/I704,1),"-")</f>
        <v>-</v>
      </c>
      <c r="K704" s="12"/>
      <c r="L704" s="159"/>
      <c r="M704" s="159"/>
      <c r="N704" s="159"/>
      <c r="O704" s="185" t="str">
        <f t="shared" si="34"/>
        <v>-</v>
      </c>
      <c r="P704" s="215" t="str">
        <f t="shared" si="35"/>
        <v>-</v>
      </c>
      <c r="Q704" s="215" cm="1">
        <f t="array" ref="Q704">IF(P704="-",0,P704/(1+'General inputs'!$H$32)^IFERROR(INDEX('MP Calculations'!$C$40:$C$130,MATCH(F704,'MP Calculations'!$D$40:$D$130,0),0),-1))</f>
        <v>0</v>
      </c>
    </row>
    <row r="705" spans="3:17">
      <c r="C705" s="159"/>
      <c r="D705" s="165"/>
      <c r="E705" s="161"/>
      <c r="F705" s="172" t="str">
        <f t="shared" si="33"/>
        <v>-</v>
      </c>
      <c r="G705" s="68"/>
      <c r="H705" s="167"/>
      <c r="I705" s="173"/>
      <c r="J705" s="168" t="str">
        <f>IFERROR(MIN('MP Calculations'!$E$30/I705,1),"-")</f>
        <v>-</v>
      </c>
      <c r="K705" s="12"/>
      <c r="L705" s="159"/>
      <c r="M705" s="159"/>
      <c r="N705" s="159"/>
      <c r="O705" s="185" t="str">
        <f t="shared" si="34"/>
        <v>-</v>
      </c>
      <c r="P705" s="215" t="str">
        <f t="shared" si="35"/>
        <v>-</v>
      </c>
      <c r="Q705" s="215" cm="1">
        <f t="array" ref="Q705">IF(P705="-",0,P705/(1+'General inputs'!$H$32)^IFERROR(INDEX('MP Calculations'!$C$40:$C$130,MATCH(F705,'MP Calculations'!$D$40:$D$130,0),0),-1))</f>
        <v>0</v>
      </c>
    </row>
    <row r="706" spans="3:17">
      <c r="C706" s="159"/>
      <c r="D706" s="165"/>
      <c r="E706" s="161"/>
      <c r="F706" s="172" t="str">
        <f t="shared" si="33"/>
        <v>-</v>
      </c>
      <c r="G706" s="68"/>
      <c r="H706" s="167"/>
      <c r="I706" s="173"/>
      <c r="J706" s="168" t="str">
        <f>IFERROR(MIN('MP Calculations'!$E$30/I706,1),"-")</f>
        <v>-</v>
      </c>
      <c r="K706" s="12"/>
      <c r="L706" s="159"/>
      <c r="M706" s="159"/>
      <c r="N706" s="159"/>
      <c r="O706" s="185" t="str">
        <f t="shared" si="34"/>
        <v>-</v>
      </c>
      <c r="P706" s="215" t="str">
        <f t="shared" si="35"/>
        <v>-</v>
      </c>
      <c r="Q706" s="215" cm="1">
        <f t="array" ref="Q706">IF(P706="-",0,P706/(1+'General inputs'!$H$32)^IFERROR(INDEX('MP Calculations'!$C$40:$C$130,MATCH(F706,'MP Calculations'!$D$40:$D$130,0),0),-1))</f>
        <v>0</v>
      </c>
    </row>
    <row r="707" spans="3:17">
      <c r="C707" s="159"/>
      <c r="D707" s="165"/>
      <c r="E707" s="161"/>
      <c r="F707" s="172" t="str">
        <f t="shared" si="33"/>
        <v>-</v>
      </c>
      <c r="G707" s="68"/>
      <c r="H707" s="167"/>
      <c r="I707" s="173"/>
      <c r="J707" s="168" t="str">
        <f>IFERROR(MIN('MP Calculations'!$E$30/I707,1),"-")</f>
        <v>-</v>
      </c>
      <c r="K707" s="12"/>
      <c r="L707" s="159"/>
      <c r="M707" s="159"/>
      <c r="N707" s="159"/>
      <c r="O707" s="185" t="str">
        <f t="shared" si="34"/>
        <v>-</v>
      </c>
      <c r="P707" s="215" t="str">
        <f t="shared" si="35"/>
        <v>-</v>
      </c>
      <c r="Q707" s="215" cm="1">
        <f t="array" ref="Q707">IF(P707="-",0,P707/(1+'General inputs'!$H$32)^IFERROR(INDEX('MP Calculations'!$C$40:$C$130,MATCH(F707,'MP Calculations'!$D$40:$D$130,0),0),-1))</f>
        <v>0</v>
      </c>
    </row>
    <row r="708" spans="3:17">
      <c r="C708" s="159"/>
      <c r="D708" s="165"/>
      <c r="E708" s="161"/>
      <c r="F708" s="172" t="str">
        <f t="shared" si="33"/>
        <v>-</v>
      </c>
      <c r="G708" s="68"/>
      <c r="H708" s="167"/>
      <c r="I708" s="173"/>
      <c r="J708" s="168" t="str">
        <f>IFERROR(MIN('MP Calculations'!$E$30/I708,1),"-")</f>
        <v>-</v>
      </c>
      <c r="K708" s="12"/>
      <c r="L708" s="159"/>
      <c r="M708" s="159"/>
      <c r="N708" s="159"/>
      <c r="O708" s="185" t="str">
        <f t="shared" si="34"/>
        <v>-</v>
      </c>
      <c r="P708" s="215" t="str">
        <f t="shared" si="35"/>
        <v>-</v>
      </c>
      <c r="Q708" s="215" cm="1">
        <f t="array" ref="Q708">IF(P708="-",0,P708/(1+'General inputs'!$H$32)^IFERROR(INDEX('MP Calculations'!$C$40:$C$130,MATCH(F708,'MP Calculations'!$D$40:$D$130,0),0),-1))</f>
        <v>0</v>
      </c>
    </row>
    <row r="709" spans="3:17">
      <c r="C709" s="159"/>
      <c r="D709" s="165"/>
      <c r="E709" s="161"/>
      <c r="F709" s="172" t="str">
        <f t="shared" si="33"/>
        <v>-</v>
      </c>
      <c r="G709" s="68"/>
      <c r="H709" s="167"/>
      <c r="I709" s="173"/>
      <c r="J709" s="168" t="str">
        <f>IFERROR(MIN('MP Calculations'!$E$30/I709,1),"-")</f>
        <v>-</v>
      </c>
      <c r="K709" s="12"/>
      <c r="L709" s="159"/>
      <c r="M709" s="159"/>
      <c r="N709" s="159"/>
      <c r="O709" s="185" t="str">
        <f t="shared" si="34"/>
        <v>-</v>
      </c>
      <c r="P709" s="215" t="str">
        <f t="shared" si="35"/>
        <v>-</v>
      </c>
      <c r="Q709" s="215" cm="1">
        <f t="array" ref="Q709">IF(P709="-",0,P709/(1+'General inputs'!$H$32)^IFERROR(INDEX('MP Calculations'!$C$40:$C$130,MATCH(F709,'MP Calculations'!$D$40:$D$130,0),0),-1))</f>
        <v>0</v>
      </c>
    </row>
    <row r="710" spans="3:17">
      <c r="C710" s="159"/>
      <c r="D710" s="165"/>
      <c r="E710" s="161"/>
      <c r="F710" s="172" t="str">
        <f t="shared" si="33"/>
        <v>-</v>
      </c>
      <c r="G710" s="68"/>
      <c r="H710" s="167"/>
      <c r="I710" s="173"/>
      <c r="J710" s="168" t="str">
        <f>IFERROR(MIN('MP Calculations'!$E$30/I710,1),"-")</f>
        <v>-</v>
      </c>
      <c r="K710" s="12"/>
      <c r="L710" s="159"/>
      <c r="M710" s="159"/>
      <c r="N710" s="159"/>
      <c r="O710" s="185" t="str">
        <f t="shared" si="34"/>
        <v>-</v>
      </c>
      <c r="P710" s="215" t="str">
        <f t="shared" si="35"/>
        <v>-</v>
      </c>
      <c r="Q710" s="215" cm="1">
        <f t="array" ref="Q710">IF(P710="-",0,P710/(1+'General inputs'!$H$32)^IFERROR(INDEX('MP Calculations'!$C$40:$C$130,MATCH(F710,'MP Calculations'!$D$40:$D$130,0),0),-1))</f>
        <v>0</v>
      </c>
    </row>
    <row r="711" spans="3:17">
      <c r="C711" s="159"/>
      <c r="D711" s="165"/>
      <c r="E711" s="161"/>
      <c r="F711" s="172" t="str">
        <f t="shared" si="33"/>
        <v>-</v>
      </c>
      <c r="G711" s="68"/>
      <c r="H711" s="167"/>
      <c r="I711" s="173"/>
      <c r="J711" s="168" t="str">
        <f>IFERROR(MIN('MP Calculations'!$E$30/I711,1),"-")</f>
        <v>-</v>
      </c>
      <c r="K711" s="12"/>
      <c r="L711" s="159"/>
      <c r="M711" s="159"/>
      <c r="N711" s="159"/>
      <c r="O711" s="185" t="str">
        <f t="shared" si="34"/>
        <v>-</v>
      </c>
      <c r="P711" s="215" t="str">
        <f t="shared" si="35"/>
        <v>-</v>
      </c>
      <c r="Q711" s="215" cm="1">
        <f t="array" ref="Q711">IF(P711="-",0,P711/(1+'General inputs'!$H$32)^IFERROR(INDEX('MP Calculations'!$C$40:$C$130,MATCH(F711,'MP Calculations'!$D$40:$D$130,0),0),-1))</f>
        <v>0</v>
      </c>
    </row>
    <row r="712" spans="3:17">
      <c r="C712" s="159"/>
      <c r="D712" s="165"/>
      <c r="E712" s="161"/>
      <c r="F712" s="172" t="str">
        <f t="shared" si="33"/>
        <v>-</v>
      </c>
      <c r="G712" s="68"/>
      <c r="H712" s="167"/>
      <c r="I712" s="173"/>
      <c r="J712" s="168" t="str">
        <f>IFERROR(MIN('MP Calculations'!$E$30/I712,1),"-")</f>
        <v>-</v>
      </c>
      <c r="K712" s="12"/>
      <c r="L712" s="159"/>
      <c r="M712" s="159"/>
      <c r="N712" s="159"/>
      <c r="O712" s="185" t="str">
        <f t="shared" si="34"/>
        <v>-</v>
      </c>
      <c r="P712" s="215" t="str">
        <f t="shared" si="35"/>
        <v>-</v>
      </c>
      <c r="Q712" s="215" cm="1">
        <f t="array" ref="Q712">IF(P712="-",0,P712/(1+'General inputs'!$H$32)^IFERROR(INDEX('MP Calculations'!$C$40:$C$130,MATCH(F712,'MP Calculations'!$D$40:$D$130,0),0),-1))</f>
        <v>0</v>
      </c>
    </row>
    <row r="713" spans="3:17">
      <c r="C713" s="159"/>
      <c r="D713" s="165"/>
      <c r="E713" s="161"/>
      <c r="F713" s="172" t="str">
        <f t="shared" si="33"/>
        <v>-</v>
      </c>
      <c r="G713" s="68"/>
      <c r="H713" s="167"/>
      <c r="I713" s="173"/>
      <c r="J713" s="168" t="str">
        <f>IFERROR(MIN('MP Calculations'!$E$30/I713,1),"-")</f>
        <v>-</v>
      </c>
      <c r="K713" s="12"/>
      <c r="L713" s="159"/>
      <c r="M713" s="159"/>
      <c r="N713" s="159"/>
      <c r="O713" s="185" t="str">
        <f t="shared" si="34"/>
        <v>-</v>
      </c>
      <c r="P713" s="215" t="str">
        <f t="shared" si="35"/>
        <v>-</v>
      </c>
      <c r="Q713" s="215" cm="1">
        <f t="array" ref="Q713">IF(P713="-",0,P713/(1+'General inputs'!$H$32)^IFERROR(INDEX('MP Calculations'!$C$40:$C$130,MATCH(F713,'MP Calculations'!$D$40:$D$130,0),0),-1))</f>
        <v>0</v>
      </c>
    </row>
    <row r="714" spans="3:17">
      <c r="C714" s="159"/>
      <c r="D714" s="165"/>
      <c r="E714" s="161"/>
      <c r="F714" s="172" t="str">
        <f t="shared" si="33"/>
        <v>-</v>
      </c>
      <c r="G714" s="68"/>
      <c r="H714" s="167"/>
      <c r="I714" s="173"/>
      <c r="J714" s="168" t="str">
        <f>IFERROR(MIN('MP Calculations'!$E$30/I714,1),"-")</f>
        <v>-</v>
      </c>
      <c r="K714" s="12"/>
      <c r="L714" s="159"/>
      <c r="M714" s="159"/>
      <c r="N714" s="159"/>
      <c r="O714" s="185" t="str">
        <f t="shared" si="34"/>
        <v>-</v>
      </c>
      <c r="P714" s="215" t="str">
        <f t="shared" si="35"/>
        <v>-</v>
      </c>
      <c r="Q714" s="215" cm="1">
        <f t="array" ref="Q714">IF(P714="-",0,P714/(1+'General inputs'!$H$32)^IFERROR(INDEX('MP Calculations'!$C$40:$C$130,MATCH(F714,'MP Calculations'!$D$40:$D$130,0),0),-1))</f>
        <v>0</v>
      </c>
    </row>
    <row r="715" spans="3:17">
      <c r="C715" s="159"/>
      <c r="D715" s="165"/>
      <c r="E715" s="161"/>
      <c r="F715" s="172" t="str">
        <f t="shared" si="33"/>
        <v>-</v>
      </c>
      <c r="G715" s="68"/>
      <c r="H715" s="167"/>
      <c r="I715" s="173"/>
      <c r="J715" s="168" t="str">
        <f>IFERROR(MIN('MP Calculations'!$E$30/I715,1),"-")</f>
        <v>-</v>
      </c>
      <c r="K715" s="12"/>
      <c r="L715" s="159"/>
      <c r="M715" s="159"/>
      <c r="N715" s="159"/>
      <c r="O715" s="185" t="str">
        <f t="shared" si="34"/>
        <v>-</v>
      </c>
      <c r="P715" s="215" t="str">
        <f t="shared" si="35"/>
        <v>-</v>
      </c>
      <c r="Q715" s="215" cm="1">
        <f t="array" ref="Q715">IF(P715="-",0,P715/(1+'General inputs'!$H$32)^IFERROR(INDEX('MP Calculations'!$C$40:$C$130,MATCH(F715,'MP Calculations'!$D$40:$D$130,0),0),-1))</f>
        <v>0</v>
      </c>
    </row>
    <row r="716" spans="3:17">
      <c r="C716" s="159"/>
      <c r="D716" s="165"/>
      <c r="E716" s="161"/>
      <c r="F716" s="172" t="str">
        <f t="shared" si="33"/>
        <v>-</v>
      </c>
      <c r="G716" s="68"/>
      <c r="H716" s="167"/>
      <c r="I716" s="173"/>
      <c r="J716" s="168" t="str">
        <f>IFERROR(MIN('MP Calculations'!$E$30/I716,1),"-")</f>
        <v>-</v>
      </c>
      <c r="K716" s="12"/>
      <c r="L716" s="159"/>
      <c r="M716" s="159"/>
      <c r="N716" s="159"/>
      <c r="O716" s="185" t="str">
        <f t="shared" si="34"/>
        <v>-</v>
      </c>
      <c r="P716" s="215" t="str">
        <f t="shared" si="35"/>
        <v>-</v>
      </c>
      <c r="Q716" s="215" cm="1">
        <f t="array" ref="Q716">IF(P716="-",0,P716/(1+'General inputs'!$H$32)^IFERROR(INDEX('MP Calculations'!$C$40:$C$130,MATCH(F716,'MP Calculations'!$D$40:$D$130,0),0),-1))</f>
        <v>0</v>
      </c>
    </row>
    <row r="717" spans="3:17">
      <c r="C717" s="159"/>
      <c r="D717" s="165"/>
      <c r="E717" s="161"/>
      <c r="F717" s="172" t="str">
        <f t="shared" si="33"/>
        <v>-</v>
      </c>
      <c r="G717" s="68"/>
      <c r="H717" s="167"/>
      <c r="I717" s="173"/>
      <c r="J717" s="168" t="str">
        <f>IFERROR(MIN('MP Calculations'!$E$30/I717,1),"-")</f>
        <v>-</v>
      </c>
      <c r="K717" s="12"/>
      <c r="L717" s="159"/>
      <c r="M717" s="159"/>
      <c r="N717" s="159"/>
      <c r="O717" s="185" t="str">
        <f t="shared" si="34"/>
        <v>-</v>
      </c>
      <c r="P717" s="215" t="str">
        <f t="shared" si="35"/>
        <v>-</v>
      </c>
      <c r="Q717" s="215" cm="1">
        <f t="array" ref="Q717">IF(P717="-",0,P717/(1+'General inputs'!$H$32)^IFERROR(INDEX('MP Calculations'!$C$40:$C$130,MATCH(F717,'MP Calculations'!$D$40:$D$130,0),0),-1))</f>
        <v>0</v>
      </c>
    </row>
    <row r="718" spans="3:17">
      <c r="C718" s="159"/>
      <c r="D718" s="165"/>
      <c r="E718" s="161"/>
      <c r="F718" s="172" t="str">
        <f t="shared" si="33"/>
        <v>-</v>
      </c>
      <c r="G718" s="68"/>
      <c r="H718" s="167"/>
      <c r="I718" s="173"/>
      <c r="J718" s="168" t="str">
        <f>IFERROR(MIN('MP Calculations'!$E$30/I718,1),"-")</f>
        <v>-</v>
      </c>
      <c r="K718" s="12"/>
      <c r="L718" s="159"/>
      <c r="M718" s="159"/>
      <c r="N718" s="159"/>
      <c r="O718" s="185" t="str">
        <f t="shared" si="34"/>
        <v>-</v>
      </c>
      <c r="P718" s="215" t="str">
        <f t="shared" si="35"/>
        <v>-</v>
      </c>
      <c r="Q718" s="215" cm="1">
        <f t="array" ref="Q718">IF(P718="-",0,P718/(1+'General inputs'!$H$32)^IFERROR(INDEX('MP Calculations'!$C$40:$C$130,MATCH(F718,'MP Calculations'!$D$40:$D$130,0),0),-1))</f>
        <v>0</v>
      </c>
    </row>
    <row r="719" spans="3:17">
      <c r="C719" s="159"/>
      <c r="D719" s="165"/>
      <c r="E719" s="161"/>
      <c r="F719" s="172" t="str">
        <f t="shared" si="33"/>
        <v>-</v>
      </c>
      <c r="G719" s="68"/>
      <c r="H719" s="167"/>
      <c r="I719" s="173"/>
      <c r="J719" s="168" t="str">
        <f>IFERROR(MIN('MP Calculations'!$E$30/I719,1),"-")</f>
        <v>-</v>
      </c>
      <c r="K719" s="12"/>
      <c r="L719" s="159"/>
      <c r="M719" s="159"/>
      <c r="N719" s="159"/>
      <c r="O719" s="185" t="str">
        <f t="shared" si="34"/>
        <v>-</v>
      </c>
      <c r="P719" s="215" t="str">
        <f t="shared" si="35"/>
        <v>-</v>
      </c>
      <c r="Q719" s="215" cm="1">
        <f t="array" ref="Q719">IF(P719="-",0,P719/(1+'General inputs'!$H$32)^IFERROR(INDEX('MP Calculations'!$C$40:$C$130,MATCH(F719,'MP Calculations'!$D$40:$D$130,0),0),-1))</f>
        <v>0</v>
      </c>
    </row>
    <row r="720" spans="3:17">
      <c r="C720" s="159"/>
      <c r="D720" s="165"/>
      <c r="E720" s="161"/>
      <c r="F720" s="172" t="str">
        <f t="shared" si="33"/>
        <v>-</v>
      </c>
      <c r="G720" s="68"/>
      <c r="H720" s="167"/>
      <c r="I720" s="173"/>
      <c r="J720" s="168" t="str">
        <f>IFERROR(MIN('MP Calculations'!$E$30/I720,1),"-")</f>
        <v>-</v>
      </c>
      <c r="K720" s="12"/>
      <c r="L720" s="159"/>
      <c r="M720" s="159"/>
      <c r="N720" s="159"/>
      <c r="O720" s="185" t="str">
        <f t="shared" si="34"/>
        <v>-</v>
      </c>
      <c r="P720" s="215" t="str">
        <f t="shared" si="35"/>
        <v>-</v>
      </c>
      <c r="Q720" s="215" cm="1">
        <f t="array" ref="Q720">IF(P720="-",0,P720/(1+'General inputs'!$H$32)^IFERROR(INDEX('MP Calculations'!$C$40:$C$130,MATCH(F720,'MP Calculations'!$D$40:$D$130,0),0),-1))</f>
        <v>0</v>
      </c>
    </row>
    <row r="721" spans="3:17">
      <c r="C721" s="159"/>
      <c r="D721" s="165"/>
      <c r="E721" s="161"/>
      <c r="F721" s="172" t="str">
        <f t="shared" si="33"/>
        <v>-</v>
      </c>
      <c r="G721" s="68"/>
      <c r="H721" s="167"/>
      <c r="I721" s="173"/>
      <c r="J721" s="168" t="str">
        <f>IFERROR(MIN('MP Calculations'!$E$30/I721,1),"-")</f>
        <v>-</v>
      </c>
      <c r="K721" s="12"/>
      <c r="L721" s="159"/>
      <c r="M721" s="159"/>
      <c r="N721" s="159"/>
      <c r="O721" s="185" t="str">
        <f t="shared" si="34"/>
        <v>-</v>
      </c>
      <c r="P721" s="215" t="str">
        <f t="shared" si="35"/>
        <v>-</v>
      </c>
      <c r="Q721" s="215" cm="1">
        <f t="array" ref="Q721">IF(P721="-",0,P721/(1+'General inputs'!$H$32)^IFERROR(INDEX('MP Calculations'!$C$40:$C$130,MATCH(F721,'MP Calculations'!$D$40:$D$130,0),0),-1))</f>
        <v>0</v>
      </c>
    </row>
    <row r="722" spans="3:17">
      <c r="C722" s="159"/>
      <c r="D722" s="165"/>
      <c r="E722" s="161"/>
      <c r="F722" s="172" t="str">
        <f t="shared" si="33"/>
        <v>-</v>
      </c>
      <c r="G722" s="68"/>
      <c r="H722" s="167"/>
      <c r="I722" s="173"/>
      <c r="J722" s="168" t="str">
        <f>IFERROR(MIN('MP Calculations'!$E$30/I722,1),"-")</f>
        <v>-</v>
      </c>
      <c r="K722" s="12"/>
      <c r="L722" s="159"/>
      <c r="M722" s="159"/>
      <c r="N722" s="159"/>
      <c r="O722" s="185" t="str">
        <f t="shared" si="34"/>
        <v>-</v>
      </c>
      <c r="P722" s="215" t="str">
        <f t="shared" si="35"/>
        <v>-</v>
      </c>
      <c r="Q722" s="215" cm="1">
        <f t="array" ref="Q722">IF(P722="-",0,P722/(1+'General inputs'!$H$32)^IFERROR(INDEX('MP Calculations'!$C$40:$C$130,MATCH(F722,'MP Calculations'!$D$40:$D$130,0),0),-1))</f>
        <v>0</v>
      </c>
    </row>
    <row r="723" spans="3:17">
      <c r="C723" s="159"/>
      <c r="D723" s="165"/>
      <c r="E723" s="161"/>
      <c r="F723" s="172" t="str">
        <f t="shared" si="33"/>
        <v>-</v>
      </c>
      <c r="G723" s="68"/>
      <c r="H723" s="167"/>
      <c r="I723" s="173"/>
      <c r="J723" s="168" t="str">
        <f>IFERROR(MIN('MP Calculations'!$E$30/I723,1),"-")</f>
        <v>-</v>
      </c>
      <c r="K723" s="12"/>
      <c r="L723" s="159"/>
      <c r="M723" s="159"/>
      <c r="N723" s="159"/>
      <c r="O723" s="185" t="str">
        <f t="shared" si="34"/>
        <v>-</v>
      </c>
      <c r="P723" s="215" t="str">
        <f t="shared" si="35"/>
        <v>-</v>
      </c>
      <c r="Q723" s="215" cm="1">
        <f t="array" ref="Q723">IF(P723="-",0,P723/(1+'General inputs'!$H$32)^IFERROR(INDEX('MP Calculations'!$C$40:$C$130,MATCH(F723,'MP Calculations'!$D$40:$D$130,0),0),-1))</f>
        <v>0</v>
      </c>
    </row>
    <row r="724" spans="3:17">
      <c r="C724" s="159"/>
      <c r="D724" s="165"/>
      <c r="E724" s="161"/>
      <c r="F724" s="172" t="str">
        <f t="shared" si="33"/>
        <v>-</v>
      </c>
      <c r="G724" s="68"/>
      <c r="H724" s="167"/>
      <c r="I724" s="173"/>
      <c r="J724" s="168" t="str">
        <f>IFERROR(MIN('MP Calculations'!$E$30/I724,1),"-")</f>
        <v>-</v>
      </c>
      <c r="K724" s="12"/>
      <c r="L724" s="159"/>
      <c r="M724" s="159"/>
      <c r="N724" s="159"/>
      <c r="O724" s="185" t="str">
        <f t="shared" si="34"/>
        <v>-</v>
      </c>
      <c r="P724" s="215" t="str">
        <f t="shared" si="35"/>
        <v>-</v>
      </c>
      <c r="Q724" s="215" cm="1">
        <f t="array" ref="Q724">IF(P724="-",0,P724/(1+'General inputs'!$H$32)^IFERROR(INDEX('MP Calculations'!$C$40:$C$130,MATCH(F724,'MP Calculations'!$D$40:$D$130,0),0),-1))</f>
        <v>0</v>
      </c>
    </row>
    <row r="725" spans="3:17">
      <c r="C725" s="159"/>
      <c r="D725" s="165"/>
      <c r="E725" s="161"/>
      <c r="F725" s="172" t="str">
        <f t="shared" si="33"/>
        <v>-</v>
      </c>
      <c r="G725" s="68"/>
      <c r="H725" s="167"/>
      <c r="I725" s="173"/>
      <c r="J725" s="168" t="str">
        <f>IFERROR(MIN('MP Calculations'!$E$30/I725,1),"-")</f>
        <v>-</v>
      </c>
      <c r="K725" s="12"/>
      <c r="L725" s="159"/>
      <c r="M725" s="159"/>
      <c r="N725" s="159"/>
      <c r="O725" s="185" t="str">
        <f t="shared" si="34"/>
        <v>-</v>
      </c>
      <c r="P725" s="215" t="str">
        <f t="shared" si="35"/>
        <v>-</v>
      </c>
      <c r="Q725" s="215" cm="1">
        <f t="array" ref="Q725">IF(P725="-",0,P725/(1+'General inputs'!$H$32)^IFERROR(INDEX('MP Calculations'!$C$40:$C$130,MATCH(F725,'MP Calculations'!$D$40:$D$130,0),0),-1))</f>
        <v>0</v>
      </c>
    </row>
    <row r="726" spans="3:17">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5" t="str">
        <f t="shared" ref="O726:O789" si="37">IF(N726="","-",L726*N726)</f>
        <v>-</v>
      </c>
      <c r="P726" s="215" t="str">
        <f t="shared" ref="P726:P789" si="38">IF(O726="-","-",IF(OR(E726&lt;$E$15,E726&gt;$E$16),0,O726*J726))</f>
        <v>-</v>
      </c>
      <c r="Q726" s="215" cm="1">
        <f t="array" ref="Q726">IF(P726="-",0,P726/(1+'General inputs'!$H$32)^IFERROR(INDEX('MP Calculations'!$C$40:$C$130,MATCH(F726,'MP Calculations'!$D$40:$D$130,0),0),-1))</f>
        <v>0</v>
      </c>
    </row>
    <row r="727" spans="3:17">
      <c r="C727" s="159"/>
      <c r="D727" s="165"/>
      <c r="E727" s="161"/>
      <c r="F727" s="172" t="str">
        <f t="shared" si="36"/>
        <v>-</v>
      </c>
      <c r="G727" s="68"/>
      <c r="H727" s="167"/>
      <c r="I727" s="173"/>
      <c r="J727" s="168" t="str">
        <f>IFERROR(MIN('MP Calculations'!$E$30/I727,1),"-")</f>
        <v>-</v>
      </c>
      <c r="K727" s="12"/>
      <c r="L727" s="159"/>
      <c r="M727" s="159"/>
      <c r="N727" s="159"/>
      <c r="O727" s="185" t="str">
        <f t="shared" si="37"/>
        <v>-</v>
      </c>
      <c r="P727" s="215" t="str">
        <f t="shared" si="38"/>
        <v>-</v>
      </c>
      <c r="Q727" s="215" cm="1">
        <f t="array" ref="Q727">IF(P727="-",0,P727/(1+'General inputs'!$H$32)^IFERROR(INDEX('MP Calculations'!$C$40:$C$130,MATCH(F727,'MP Calculations'!$D$40:$D$130,0),0),-1))</f>
        <v>0</v>
      </c>
    </row>
    <row r="728" spans="3:17">
      <c r="C728" s="159"/>
      <c r="D728" s="165"/>
      <c r="E728" s="161"/>
      <c r="F728" s="172" t="str">
        <f t="shared" si="36"/>
        <v>-</v>
      </c>
      <c r="G728" s="68"/>
      <c r="H728" s="167"/>
      <c r="I728" s="173"/>
      <c r="J728" s="168" t="str">
        <f>IFERROR(MIN('MP Calculations'!$E$30/I728,1),"-")</f>
        <v>-</v>
      </c>
      <c r="K728" s="12"/>
      <c r="L728" s="159"/>
      <c r="M728" s="159"/>
      <c r="N728" s="159"/>
      <c r="O728" s="185" t="str">
        <f t="shared" si="37"/>
        <v>-</v>
      </c>
      <c r="P728" s="215" t="str">
        <f t="shared" si="38"/>
        <v>-</v>
      </c>
      <c r="Q728" s="215" cm="1">
        <f t="array" ref="Q728">IF(P728="-",0,P728/(1+'General inputs'!$H$32)^IFERROR(INDEX('MP Calculations'!$C$40:$C$130,MATCH(F728,'MP Calculations'!$D$40:$D$130,0),0),-1))</f>
        <v>0</v>
      </c>
    </row>
    <row r="729" spans="3:17">
      <c r="C729" s="159"/>
      <c r="D729" s="165"/>
      <c r="E729" s="161"/>
      <c r="F729" s="172" t="str">
        <f t="shared" si="36"/>
        <v>-</v>
      </c>
      <c r="G729" s="68"/>
      <c r="H729" s="167"/>
      <c r="I729" s="173"/>
      <c r="J729" s="168" t="str">
        <f>IFERROR(MIN('MP Calculations'!$E$30/I729,1),"-")</f>
        <v>-</v>
      </c>
      <c r="K729" s="12"/>
      <c r="L729" s="159"/>
      <c r="M729" s="159"/>
      <c r="N729" s="159"/>
      <c r="O729" s="185" t="str">
        <f t="shared" si="37"/>
        <v>-</v>
      </c>
      <c r="P729" s="215" t="str">
        <f t="shared" si="38"/>
        <v>-</v>
      </c>
      <c r="Q729" s="215" cm="1">
        <f t="array" ref="Q729">IF(P729="-",0,P729/(1+'General inputs'!$H$32)^IFERROR(INDEX('MP Calculations'!$C$40:$C$130,MATCH(F729,'MP Calculations'!$D$40:$D$130,0),0),-1))</f>
        <v>0</v>
      </c>
    </row>
    <row r="730" spans="3:17">
      <c r="C730" s="159"/>
      <c r="D730" s="165"/>
      <c r="E730" s="161"/>
      <c r="F730" s="172" t="str">
        <f t="shared" si="36"/>
        <v>-</v>
      </c>
      <c r="G730" s="68"/>
      <c r="H730" s="167"/>
      <c r="I730" s="173"/>
      <c r="J730" s="168" t="str">
        <f>IFERROR(MIN('MP Calculations'!$E$30/I730,1),"-")</f>
        <v>-</v>
      </c>
      <c r="K730" s="12"/>
      <c r="L730" s="159"/>
      <c r="M730" s="159"/>
      <c r="N730" s="159"/>
      <c r="O730" s="185" t="str">
        <f t="shared" si="37"/>
        <v>-</v>
      </c>
      <c r="P730" s="215" t="str">
        <f t="shared" si="38"/>
        <v>-</v>
      </c>
      <c r="Q730" s="215" cm="1">
        <f t="array" ref="Q730">IF(P730="-",0,P730/(1+'General inputs'!$H$32)^IFERROR(INDEX('MP Calculations'!$C$40:$C$130,MATCH(F730,'MP Calculations'!$D$40:$D$130,0),0),-1))</f>
        <v>0</v>
      </c>
    </row>
    <row r="731" spans="3:17">
      <c r="C731" s="159"/>
      <c r="D731" s="165"/>
      <c r="E731" s="161"/>
      <c r="F731" s="172" t="str">
        <f t="shared" si="36"/>
        <v>-</v>
      </c>
      <c r="G731" s="68"/>
      <c r="H731" s="167"/>
      <c r="I731" s="173"/>
      <c r="J731" s="168" t="str">
        <f>IFERROR(MIN('MP Calculations'!$E$30/I731,1),"-")</f>
        <v>-</v>
      </c>
      <c r="K731" s="12"/>
      <c r="L731" s="159"/>
      <c r="M731" s="159"/>
      <c r="N731" s="159"/>
      <c r="O731" s="185" t="str">
        <f t="shared" si="37"/>
        <v>-</v>
      </c>
      <c r="P731" s="215" t="str">
        <f t="shared" si="38"/>
        <v>-</v>
      </c>
      <c r="Q731" s="215" cm="1">
        <f t="array" ref="Q731">IF(P731="-",0,P731/(1+'General inputs'!$H$32)^IFERROR(INDEX('MP Calculations'!$C$40:$C$130,MATCH(F731,'MP Calculations'!$D$40:$D$130,0),0),-1))</f>
        <v>0</v>
      </c>
    </row>
    <row r="732" spans="3:17">
      <c r="C732" s="159"/>
      <c r="D732" s="165"/>
      <c r="E732" s="161"/>
      <c r="F732" s="172" t="str">
        <f t="shared" si="36"/>
        <v>-</v>
      </c>
      <c r="G732" s="68"/>
      <c r="H732" s="167"/>
      <c r="I732" s="173"/>
      <c r="J732" s="168" t="str">
        <f>IFERROR(MIN('MP Calculations'!$E$30/I732,1),"-")</f>
        <v>-</v>
      </c>
      <c r="K732" s="12"/>
      <c r="L732" s="159"/>
      <c r="M732" s="159"/>
      <c r="N732" s="159"/>
      <c r="O732" s="185" t="str">
        <f t="shared" si="37"/>
        <v>-</v>
      </c>
      <c r="P732" s="215" t="str">
        <f t="shared" si="38"/>
        <v>-</v>
      </c>
      <c r="Q732" s="215" cm="1">
        <f t="array" ref="Q732">IF(P732="-",0,P732/(1+'General inputs'!$H$32)^IFERROR(INDEX('MP Calculations'!$C$40:$C$130,MATCH(F732,'MP Calculations'!$D$40:$D$130,0),0),-1))</f>
        <v>0</v>
      </c>
    </row>
    <row r="733" spans="3:17">
      <c r="C733" s="159"/>
      <c r="D733" s="165"/>
      <c r="E733" s="161"/>
      <c r="F733" s="172" t="str">
        <f t="shared" si="36"/>
        <v>-</v>
      </c>
      <c r="G733" s="68"/>
      <c r="H733" s="167"/>
      <c r="I733" s="173"/>
      <c r="J733" s="168" t="str">
        <f>IFERROR(MIN('MP Calculations'!$E$30/I733,1),"-")</f>
        <v>-</v>
      </c>
      <c r="K733" s="12"/>
      <c r="L733" s="159"/>
      <c r="M733" s="159"/>
      <c r="N733" s="159"/>
      <c r="O733" s="185" t="str">
        <f t="shared" si="37"/>
        <v>-</v>
      </c>
      <c r="P733" s="215" t="str">
        <f t="shared" si="38"/>
        <v>-</v>
      </c>
      <c r="Q733" s="215" cm="1">
        <f t="array" ref="Q733">IF(P733="-",0,P733/(1+'General inputs'!$H$32)^IFERROR(INDEX('MP Calculations'!$C$40:$C$130,MATCH(F733,'MP Calculations'!$D$40:$D$130,0),0),-1))</f>
        <v>0</v>
      </c>
    </row>
    <row r="734" spans="3:17">
      <c r="C734" s="159"/>
      <c r="D734" s="165"/>
      <c r="E734" s="161"/>
      <c r="F734" s="172" t="str">
        <f t="shared" si="36"/>
        <v>-</v>
      </c>
      <c r="G734" s="68"/>
      <c r="H734" s="167"/>
      <c r="I734" s="173"/>
      <c r="J734" s="168" t="str">
        <f>IFERROR(MIN('MP Calculations'!$E$30/I734,1),"-")</f>
        <v>-</v>
      </c>
      <c r="K734" s="12"/>
      <c r="L734" s="159"/>
      <c r="M734" s="159"/>
      <c r="N734" s="159"/>
      <c r="O734" s="185" t="str">
        <f t="shared" si="37"/>
        <v>-</v>
      </c>
      <c r="P734" s="215" t="str">
        <f t="shared" si="38"/>
        <v>-</v>
      </c>
      <c r="Q734" s="215" cm="1">
        <f t="array" ref="Q734">IF(P734="-",0,P734/(1+'General inputs'!$H$32)^IFERROR(INDEX('MP Calculations'!$C$40:$C$130,MATCH(F734,'MP Calculations'!$D$40:$D$130,0),0),-1))</f>
        <v>0</v>
      </c>
    </row>
    <row r="735" spans="3:17">
      <c r="C735" s="159"/>
      <c r="D735" s="165"/>
      <c r="E735" s="161"/>
      <c r="F735" s="172" t="str">
        <f t="shared" si="36"/>
        <v>-</v>
      </c>
      <c r="G735" s="68"/>
      <c r="H735" s="167"/>
      <c r="I735" s="173"/>
      <c r="J735" s="168" t="str">
        <f>IFERROR(MIN('MP Calculations'!$E$30/I735,1),"-")</f>
        <v>-</v>
      </c>
      <c r="K735" s="12"/>
      <c r="L735" s="159"/>
      <c r="M735" s="159"/>
      <c r="N735" s="159"/>
      <c r="O735" s="185" t="str">
        <f t="shared" si="37"/>
        <v>-</v>
      </c>
      <c r="P735" s="215" t="str">
        <f t="shared" si="38"/>
        <v>-</v>
      </c>
      <c r="Q735" s="215" cm="1">
        <f t="array" ref="Q735">IF(P735="-",0,P735/(1+'General inputs'!$H$32)^IFERROR(INDEX('MP Calculations'!$C$40:$C$130,MATCH(F735,'MP Calculations'!$D$40:$D$130,0),0),-1))</f>
        <v>0</v>
      </c>
    </row>
    <row r="736" spans="3:17">
      <c r="C736" s="159"/>
      <c r="D736" s="165"/>
      <c r="E736" s="161"/>
      <c r="F736" s="172" t="str">
        <f t="shared" si="36"/>
        <v>-</v>
      </c>
      <c r="G736" s="68"/>
      <c r="H736" s="167"/>
      <c r="I736" s="173"/>
      <c r="J736" s="168" t="str">
        <f>IFERROR(MIN('MP Calculations'!$E$30/I736,1),"-")</f>
        <v>-</v>
      </c>
      <c r="K736" s="12"/>
      <c r="L736" s="159"/>
      <c r="M736" s="159"/>
      <c r="N736" s="159"/>
      <c r="O736" s="185" t="str">
        <f t="shared" si="37"/>
        <v>-</v>
      </c>
      <c r="P736" s="215" t="str">
        <f t="shared" si="38"/>
        <v>-</v>
      </c>
      <c r="Q736" s="215" cm="1">
        <f t="array" ref="Q736">IF(P736="-",0,P736/(1+'General inputs'!$H$32)^IFERROR(INDEX('MP Calculations'!$C$40:$C$130,MATCH(F736,'MP Calculations'!$D$40:$D$130,0),0),-1))</f>
        <v>0</v>
      </c>
    </row>
    <row r="737" spans="3:17">
      <c r="C737" s="159"/>
      <c r="D737" s="165"/>
      <c r="E737" s="161"/>
      <c r="F737" s="172" t="str">
        <f t="shared" si="36"/>
        <v>-</v>
      </c>
      <c r="G737" s="68"/>
      <c r="H737" s="167"/>
      <c r="I737" s="173"/>
      <c r="J737" s="168" t="str">
        <f>IFERROR(MIN('MP Calculations'!$E$30/I737,1),"-")</f>
        <v>-</v>
      </c>
      <c r="K737" s="12"/>
      <c r="L737" s="159"/>
      <c r="M737" s="159"/>
      <c r="N737" s="159"/>
      <c r="O737" s="185" t="str">
        <f t="shared" si="37"/>
        <v>-</v>
      </c>
      <c r="P737" s="215" t="str">
        <f t="shared" si="38"/>
        <v>-</v>
      </c>
      <c r="Q737" s="215" cm="1">
        <f t="array" ref="Q737">IF(P737="-",0,P737/(1+'General inputs'!$H$32)^IFERROR(INDEX('MP Calculations'!$C$40:$C$130,MATCH(F737,'MP Calculations'!$D$40:$D$130,0),0),-1))</f>
        <v>0</v>
      </c>
    </row>
    <row r="738" spans="3:17">
      <c r="C738" s="159"/>
      <c r="D738" s="165"/>
      <c r="E738" s="161"/>
      <c r="F738" s="172" t="str">
        <f t="shared" si="36"/>
        <v>-</v>
      </c>
      <c r="G738" s="68"/>
      <c r="H738" s="167"/>
      <c r="I738" s="173"/>
      <c r="J738" s="168" t="str">
        <f>IFERROR(MIN('MP Calculations'!$E$30/I738,1),"-")</f>
        <v>-</v>
      </c>
      <c r="K738" s="12"/>
      <c r="L738" s="159"/>
      <c r="M738" s="159"/>
      <c r="N738" s="159"/>
      <c r="O738" s="185" t="str">
        <f t="shared" si="37"/>
        <v>-</v>
      </c>
      <c r="P738" s="215" t="str">
        <f t="shared" si="38"/>
        <v>-</v>
      </c>
      <c r="Q738" s="215" cm="1">
        <f t="array" ref="Q738">IF(P738="-",0,P738/(1+'General inputs'!$H$32)^IFERROR(INDEX('MP Calculations'!$C$40:$C$130,MATCH(F738,'MP Calculations'!$D$40:$D$130,0),0),-1))</f>
        <v>0</v>
      </c>
    </row>
    <row r="739" spans="3:17">
      <c r="C739" s="159"/>
      <c r="D739" s="165"/>
      <c r="E739" s="161"/>
      <c r="F739" s="172" t="str">
        <f t="shared" si="36"/>
        <v>-</v>
      </c>
      <c r="G739" s="68"/>
      <c r="H739" s="167"/>
      <c r="I739" s="173"/>
      <c r="J739" s="168" t="str">
        <f>IFERROR(MIN('MP Calculations'!$E$30/I739,1),"-")</f>
        <v>-</v>
      </c>
      <c r="K739" s="12"/>
      <c r="L739" s="159"/>
      <c r="M739" s="159"/>
      <c r="N739" s="159"/>
      <c r="O739" s="185" t="str">
        <f t="shared" si="37"/>
        <v>-</v>
      </c>
      <c r="P739" s="215" t="str">
        <f t="shared" si="38"/>
        <v>-</v>
      </c>
      <c r="Q739" s="215" cm="1">
        <f t="array" ref="Q739">IF(P739="-",0,P739/(1+'General inputs'!$H$32)^IFERROR(INDEX('MP Calculations'!$C$40:$C$130,MATCH(F739,'MP Calculations'!$D$40:$D$130,0),0),-1))</f>
        <v>0</v>
      </c>
    </row>
    <row r="740" spans="3:17">
      <c r="C740" s="159"/>
      <c r="D740" s="165"/>
      <c r="E740" s="161"/>
      <c r="F740" s="172" t="str">
        <f t="shared" si="36"/>
        <v>-</v>
      </c>
      <c r="G740" s="68"/>
      <c r="H740" s="167"/>
      <c r="I740" s="173"/>
      <c r="J740" s="168" t="str">
        <f>IFERROR(MIN('MP Calculations'!$E$30/I740,1),"-")</f>
        <v>-</v>
      </c>
      <c r="K740" s="12"/>
      <c r="L740" s="159"/>
      <c r="M740" s="159"/>
      <c r="N740" s="159"/>
      <c r="O740" s="185" t="str">
        <f t="shared" si="37"/>
        <v>-</v>
      </c>
      <c r="P740" s="215" t="str">
        <f t="shared" si="38"/>
        <v>-</v>
      </c>
      <c r="Q740" s="215" cm="1">
        <f t="array" ref="Q740">IF(P740="-",0,P740/(1+'General inputs'!$H$32)^IFERROR(INDEX('MP Calculations'!$C$40:$C$130,MATCH(F740,'MP Calculations'!$D$40:$D$130,0),0),-1))</f>
        <v>0</v>
      </c>
    </row>
    <row r="741" spans="3:17">
      <c r="C741" s="159"/>
      <c r="D741" s="165"/>
      <c r="E741" s="161"/>
      <c r="F741" s="172" t="str">
        <f t="shared" si="36"/>
        <v>-</v>
      </c>
      <c r="G741" s="68"/>
      <c r="H741" s="167"/>
      <c r="I741" s="173"/>
      <c r="J741" s="168" t="str">
        <f>IFERROR(MIN('MP Calculations'!$E$30/I741,1),"-")</f>
        <v>-</v>
      </c>
      <c r="K741" s="12"/>
      <c r="L741" s="159"/>
      <c r="M741" s="159"/>
      <c r="N741" s="159"/>
      <c r="O741" s="185" t="str">
        <f t="shared" si="37"/>
        <v>-</v>
      </c>
      <c r="P741" s="215" t="str">
        <f t="shared" si="38"/>
        <v>-</v>
      </c>
      <c r="Q741" s="215" cm="1">
        <f t="array" ref="Q741">IF(P741="-",0,P741/(1+'General inputs'!$H$32)^IFERROR(INDEX('MP Calculations'!$C$40:$C$130,MATCH(F741,'MP Calculations'!$D$40:$D$130,0),0),-1))</f>
        <v>0</v>
      </c>
    </row>
    <row r="742" spans="3:17">
      <c r="C742" s="159"/>
      <c r="D742" s="165"/>
      <c r="E742" s="161"/>
      <c r="F742" s="172" t="str">
        <f t="shared" si="36"/>
        <v>-</v>
      </c>
      <c r="G742" s="68"/>
      <c r="H742" s="167"/>
      <c r="I742" s="173"/>
      <c r="J742" s="168" t="str">
        <f>IFERROR(MIN('MP Calculations'!$E$30/I742,1),"-")</f>
        <v>-</v>
      </c>
      <c r="K742" s="12"/>
      <c r="L742" s="159"/>
      <c r="M742" s="159"/>
      <c r="N742" s="159"/>
      <c r="O742" s="185" t="str">
        <f t="shared" si="37"/>
        <v>-</v>
      </c>
      <c r="P742" s="215" t="str">
        <f t="shared" si="38"/>
        <v>-</v>
      </c>
      <c r="Q742" s="215" cm="1">
        <f t="array" ref="Q742">IF(P742="-",0,P742/(1+'General inputs'!$H$32)^IFERROR(INDEX('MP Calculations'!$C$40:$C$130,MATCH(F742,'MP Calculations'!$D$40:$D$130,0),0),-1))</f>
        <v>0</v>
      </c>
    </row>
    <row r="743" spans="3:17">
      <c r="C743" s="159"/>
      <c r="D743" s="165"/>
      <c r="E743" s="161"/>
      <c r="F743" s="172" t="str">
        <f t="shared" si="36"/>
        <v>-</v>
      </c>
      <c r="G743" s="68"/>
      <c r="H743" s="167"/>
      <c r="I743" s="173"/>
      <c r="J743" s="168" t="str">
        <f>IFERROR(MIN('MP Calculations'!$E$30/I743,1),"-")</f>
        <v>-</v>
      </c>
      <c r="K743" s="12"/>
      <c r="L743" s="159"/>
      <c r="M743" s="159"/>
      <c r="N743" s="159"/>
      <c r="O743" s="185" t="str">
        <f t="shared" si="37"/>
        <v>-</v>
      </c>
      <c r="P743" s="215" t="str">
        <f t="shared" si="38"/>
        <v>-</v>
      </c>
      <c r="Q743" s="215" cm="1">
        <f t="array" ref="Q743">IF(P743="-",0,P743/(1+'General inputs'!$H$32)^IFERROR(INDEX('MP Calculations'!$C$40:$C$130,MATCH(F743,'MP Calculations'!$D$40:$D$130,0),0),-1))</f>
        <v>0</v>
      </c>
    </row>
    <row r="744" spans="3:17">
      <c r="C744" s="159"/>
      <c r="D744" s="165"/>
      <c r="E744" s="161"/>
      <c r="F744" s="172" t="str">
        <f t="shared" si="36"/>
        <v>-</v>
      </c>
      <c r="G744" s="68"/>
      <c r="H744" s="167"/>
      <c r="I744" s="173"/>
      <c r="J744" s="168" t="str">
        <f>IFERROR(MIN('MP Calculations'!$E$30/I744,1),"-")</f>
        <v>-</v>
      </c>
      <c r="K744" s="12"/>
      <c r="L744" s="159"/>
      <c r="M744" s="159"/>
      <c r="N744" s="159"/>
      <c r="O744" s="185" t="str">
        <f t="shared" si="37"/>
        <v>-</v>
      </c>
      <c r="P744" s="215" t="str">
        <f t="shared" si="38"/>
        <v>-</v>
      </c>
      <c r="Q744" s="215" cm="1">
        <f t="array" ref="Q744">IF(P744="-",0,P744/(1+'General inputs'!$H$32)^IFERROR(INDEX('MP Calculations'!$C$40:$C$130,MATCH(F744,'MP Calculations'!$D$40:$D$130,0),0),-1))</f>
        <v>0</v>
      </c>
    </row>
    <row r="745" spans="3:17">
      <c r="C745" s="159"/>
      <c r="D745" s="165"/>
      <c r="E745" s="161"/>
      <c r="F745" s="172" t="str">
        <f t="shared" si="36"/>
        <v>-</v>
      </c>
      <c r="G745" s="68"/>
      <c r="H745" s="167"/>
      <c r="I745" s="173"/>
      <c r="J745" s="168" t="str">
        <f>IFERROR(MIN('MP Calculations'!$E$30/I745,1),"-")</f>
        <v>-</v>
      </c>
      <c r="K745" s="12"/>
      <c r="L745" s="159"/>
      <c r="M745" s="159"/>
      <c r="N745" s="159"/>
      <c r="O745" s="185" t="str">
        <f t="shared" si="37"/>
        <v>-</v>
      </c>
      <c r="P745" s="215" t="str">
        <f t="shared" si="38"/>
        <v>-</v>
      </c>
      <c r="Q745" s="215" cm="1">
        <f t="array" ref="Q745">IF(P745="-",0,P745/(1+'General inputs'!$H$32)^IFERROR(INDEX('MP Calculations'!$C$40:$C$130,MATCH(F745,'MP Calculations'!$D$40:$D$130,0),0),-1))</f>
        <v>0</v>
      </c>
    </row>
    <row r="746" spans="3:17">
      <c r="C746" s="159"/>
      <c r="D746" s="165"/>
      <c r="E746" s="161"/>
      <c r="F746" s="172" t="str">
        <f t="shared" si="36"/>
        <v>-</v>
      </c>
      <c r="G746" s="68"/>
      <c r="H746" s="167"/>
      <c r="I746" s="173"/>
      <c r="J746" s="168" t="str">
        <f>IFERROR(MIN('MP Calculations'!$E$30/I746,1),"-")</f>
        <v>-</v>
      </c>
      <c r="K746" s="12"/>
      <c r="L746" s="159"/>
      <c r="M746" s="159"/>
      <c r="N746" s="159"/>
      <c r="O746" s="185" t="str">
        <f t="shared" si="37"/>
        <v>-</v>
      </c>
      <c r="P746" s="215" t="str">
        <f t="shared" si="38"/>
        <v>-</v>
      </c>
      <c r="Q746" s="215" cm="1">
        <f t="array" ref="Q746">IF(P746="-",0,P746/(1+'General inputs'!$H$32)^IFERROR(INDEX('MP Calculations'!$C$40:$C$130,MATCH(F746,'MP Calculations'!$D$40:$D$130,0),0),-1))</f>
        <v>0</v>
      </c>
    </row>
    <row r="747" spans="3:17">
      <c r="C747" s="159"/>
      <c r="D747" s="165"/>
      <c r="E747" s="161"/>
      <c r="F747" s="172" t="str">
        <f t="shared" si="36"/>
        <v>-</v>
      </c>
      <c r="G747" s="68"/>
      <c r="H747" s="167"/>
      <c r="I747" s="173"/>
      <c r="J747" s="168" t="str">
        <f>IFERROR(MIN('MP Calculations'!$E$30/I747,1),"-")</f>
        <v>-</v>
      </c>
      <c r="K747" s="12"/>
      <c r="L747" s="159"/>
      <c r="M747" s="159"/>
      <c r="N747" s="159"/>
      <c r="O747" s="185" t="str">
        <f t="shared" si="37"/>
        <v>-</v>
      </c>
      <c r="P747" s="215" t="str">
        <f t="shared" si="38"/>
        <v>-</v>
      </c>
      <c r="Q747" s="215" cm="1">
        <f t="array" ref="Q747">IF(P747="-",0,P747/(1+'General inputs'!$H$32)^IFERROR(INDEX('MP Calculations'!$C$40:$C$130,MATCH(F747,'MP Calculations'!$D$40:$D$130,0),0),-1))</f>
        <v>0</v>
      </c>
    </row>
    <row r="748" spans="3:17">
      <c r="C748" s="159"/>
      <c r="D748" s="165"/>
      <c r="E748" s="161"/>
      <c r="F748" s="172" t="str">
        <f t="shared" si="36"/>
        <v>-</v>
      </c>
      <c r="G748" s="68"/>
      <c r="H748" s="167"/>
      <c r="I748" s="173"/>
      <c r="J748" s="168" t="str">
        <f>IFERROR(MIN('MP Calculations'!$E$30/I748,1),"-")</f>
        <v>-</v>
      </c>
      <c r="K748" s="12"/>
      <c r="L748" s="159"/>
      <c r="M748" s="159"/>
      <c r="N748" s="159"/>
      <c r="O748" s="185" t="str">
        <f t="shared" si="37"/>
        <v>-</v>
      </c>
      <c r="P748" s="215" t="str">
        <f t="shared" si="38"/>
        <v>-</v>
      </c>
      <c r="Q748" s="215" cm="1">
        <f t="array" ref="Q748">IF(P748="-",0,P748/(1+'General inputs'!$H$32)^IFERROR(INDEX('MP Calculations'!$C$40:$C$130,MATCH(F748,'MP Calculations'!$D$40:$D$130,0),0),-1))</f>
        <v>0</v>
      </c>
    </row>
    <row r="749" spans="3:17">
      <c r="C749" s="159"/>
      <c r="D749" s="165"/>
      <c r="E749" s="161"/>
      <c r="F749" s="172" t="str">
        <f t="shared" si="36"/>
        <v>-</v>
      </c>
      <c r="G749" s="68"/>
      <c r="H749" s="167"/>
      <c r="I749" s="173"/>
      <c r="J749" s="168" t="str">
        <f>IFERROR(MIN('MP Calculations'!$E$30/I749,1),"-")</f>
        <v>-</v>
      </c>
      <c r="K749" s="12"/>
      <c r="L749" s="159"/>
      <c r="M749" s="159"/>
      <c r="N749" s="159"/>
      <c r="O749" s="185" t="str">
        <f t="shared" si="37"/>
        <v>-</v>
      </c>
      <c r="P749" s="215" t="str">
        <f t="shared" si="38"/>
        <v>-</v>
      </c>
      <c r="Q749" s="215" cm="1">
        <f t="array" ref="Q749">IF(P749="-",0,P749/(1+'General inputs'!$H$32)^IFERROR(INDEX('MP Calculations'!$C$40:$C$130,MATCH(F749,'MP Calculations'!$D$40:$D$130,0),0),-1))</f>
        <v>0</v>
      </c>
    </row>
    <row r="750" spans="3:17">
      <c r="C750" s="159"/>
      <c r="D750" s="165"/>
      <c r="E750" s="161"/>
      <c r="F750" s="172" t="str">
        <f t="shared" si="36"/>
        <v>-</v>
      </c>
      <c r="G750" s="68"/>
      <c r="H750" s="167"/>
      <c r="I750" s="173"/>
      <c r="J750" s="168" t="str">
        <f>IFERROR(MIN('MP Calculations'!$E$30/I750,1),"-")</f>
        <v>-</v>
      </c>
      <c r="K750" s="12"/>
      <c r="L750" s="159"/>
      <c r="M750" s="159"/>
      <c r="N750" s="159"/>
      <c r="O750" s="185" t="str">
        <f t="shared" si="37"/>
        <v>-</v>
      </c>
      <c r="P750" s="215" t="str">
        <f t="shared" si="38"/>
        <v>-</v>
      </c>
      <c r="Q750" s="215" cm="1">
        <f t="array" ref="Q750">IF(P750="-",0,P750/(1+'General inputs'!$H$32)^IFERROR(INDEX('MP Calculations'!$C$40:$C$130,MATCH(F750,'MP Calculations'!$D$40:$D$130,0),0),-1))</f>
        <v>0</v>
      </c>
    </row>
    <row r="751" spans="3:17">
      <c r="C751" s="159"/>
      <c r="D751" s="165"/>
      <c r="E751" s="161"/>
      <c r="F751" s="172" t="str">
        <f t="shared" si="36"/>
        <v>-</v>
      </c>
      <c r="G751" s="68"/>
      <c r="H751" s="167"/>
      <c r="I751" s="173"/>
      <c r="J751" s="168" t="str">
        <f>IFERROR(MIN('MP Calculations'!$E$30/I751,1),"-")</f>
        <v>-</v>
      </c>
      <c r="K751" s="12"/>
      <c r="L751" s="159"/>
      <c r="M751" s="159"/>
      <c r="N751" s="159"/>
      <c r="O751" s="185" t="str">
        <f t="shared" si="37"/>
        <v>-</v>
      </c>
      <c r="P751" s="215" t="str">
        <f t="shared" si="38"/>
        <v>-</v>
      </c>
      <c r="Q751" s="215" cm="1">
        <f t="array" ref="Q751">IF(P751="-",0,P751/(1+'General inputs'!$H$32)^IFERROR(INDEX('MP Calculations'!$C$40:$C$130,MATCH(F751,'MP Calculations'!$D$40:$D$130,0),0),-1))</f>
        <v>0</v>
      </c>
    </row>
    <row r="752" spans="3:17">
      <c r="C752" s="159"/>
      <c r="D752" s="165"/>
      <c r="E752" s="161"/>
      <c r="F752" s="172" t="str">
        <f t="shared" si="36"/>
        <v>-</v>
      </c>
      <c r="G752" s="68"/>
      <c r="H752" s="167"/>
      <c r="I752" s="173"/>
      <c r="J752" s="168" t="str">
        <f>IFERROR(MIN('MP Calculations'!$E$30/I752,1),"-")</f>
        <v>-</v>
      </c>
      <c r="K752" s="12"/>
      <c r="L752" s="159"/>
      <c r="M752" s="159"/>
      <c r="N752" s="159"/>
      <c r="O752" s="185" t="str">
        <f t="shared" si="37"/>
        <v>-</v>
      </c>
      <c r="P752" s="215" t="str">
        <f t="shared" si="38"/>
        <v>-</v>
      </c>
      <c r="Q752" s="215" cm="1">
        <f t="array" ref="Q752">IF(P752="-",0,P752/(1+'General inputs'!$H$32)^IFERROR(INDEX('MP Calculations'!$C$40:$C$130,MATCH(F752,'MP Calculations'!$D$40:$D$130,0),0),-1))</f>
        <v>0</v>
      </c>
    </row>
    <row r="753" spans="3:17">
      <c r="C753" s="159"/>
      <c r="D753" s="165"/>
      <c r="E753" s="161"/>
      <c r="F753" s="172" t="str">
        <f t="shared" si="36"/>
        <v>-</v>
      </c>
      <c r="G753" s="68"/>
      <c r="H753" s="167"/>
      <c r="I753" s="173"/>
      <c r="J753" s="168" t="str">
        <f>IFERROR(MIN('MP Calculations'!$E$30/I753,1),"-")</f>
        <v>-</v>
      </c>
      <c r="K753" s="12"/>
      <c r="L753" s="159"/>
      <c r="M753" s="159"/>
      <c r="N753" s="159"/>
      <c r="O753" s="185" t="str">
        <f t="shared" si="37"/>
        <v>-</v>
      </c>
      <c r="P753" s="215" t="str">
        <f t="shared" si="38"/>
        <v>-</v>
      </c>
      <c r="Q753" s="215" cm="1">
        <f t="array" ref="Q753">IF(P753="-",0,P753/(1+'General inputs'!$H$32)^IFERROR(INDEX('MP Calculations'!$C$40:$C$130,MATCH(F753,'MP Calculations'!$D$40:$D$130,0),0),-1))</f>
        <v>0</v>
      </c>
    </row>
    <row r="754" spans="3:17">
      <c r="C754" s="159"/>
      <c r="D754" s="165"/>
      <c r="E754" s="161"/>
      <c r="F754" s="172" t="str">
        <f t="shared" si="36"/>
        <v>-</v>
      </c>
      <c r="G754" s="68"/>
      <c r="H754" s="167"/>
      <c r="I754" s="173"/>
      <c r="J754" s="168" t="str">
        <f>IFERROR(MIN('MP Calculations'!$E$30/I754,1),"-")</f>
        <v>-</v>
      </c>
      <c r="K754" s="12"/>
      <c r="L754" s="159"/>
      <c r="M754" s="159"/>
      <c r="N754" s="159"/>
      <c r="O754" s="185" t="str">
        <f t="shared" si="37"/>
        <v>-</v>
      </c>
      <c r="P754" s="215" t="str">
        <f t="shared" si="38"/>
        <v>-</v>
      </c>
      <c r="Q754" s="215" cm="1">
        <f t="array" ref="Q754">IF(P754="-",0,P754/(1+'General inputs'!$H$32)^IFERROR(INDEX('MP Calculations'!$C$40:$C$130,MATCH(F754,'MP Calculations'!$D$40:$D$130,0),0),-1))</f>
        <v>0</v>
      </c>
    </row>
    <row r="755" spans="3:17">
      <c r="C755" s="159"/>
      <c r="D755" s="165"/>
      <c r="E755" s="161"/>
      <c r="F755" s="172" t="str">
        <f t="shared" si="36"/>
        <v>-</v>
      </c>
      <c r="G755" s="68"/>
      <c r="H755" s="167"/>
      <c r="I755" s="173"/>
      <c r="J755" s="168" t="str">
        <f>IFERROR(MIN('MP Calculations'!$E$30/I755,1),"-")</f>
        <v>-</v>
      </c>
      <c r="K755" s="12"/>
      <c r="L755" s="159"/>
      <c r="M755" s="159"/>
      <c r="N755" s="159"/>
      <c r="O755" s="185" t="str">
        <f t="shared" si="37"/>
        <v>-</v>
      </c>
      <c r="P755" s="215" t="str">
        <f t="shared" si="38"/>
        <v>-</v>
      </c>
      <c r="Q755" s="215" cm="1">
        <f t="array" ref="Q755">IF(P755="-",0,P755/(1+'General inputs'!$H$32)^IFERROR(INDEX('MP Calculations'!$C$40:$C$130,MATCH(F755,'MP Calculations'!$D$40:$D$130,0),0),-1))</f>
        <v>0</v>
      </c>
    </row>
    <row r="756" spans="3:17">
      <c r="C756" s="159"/>
      <c r="D756" s="165"/>
      <c r="E756" s="161"/>
      <c r="F756" s="172" t="str">
        <f t="shared" si="36"/>
        <v>-</v>
      </c>
      <c r="G756" s="68"/>
      <c r="H756" s="167"/>
      <c r="I756" s="173"/>
      <c r="J756" s="168" t="str">
        <f>IFERROR(MIN('MP Calculations'!$E$30/I756,1),"-")</f>
        <v>-</v>
      </c>
      <c r="K756" s="12"/>
      <c r="L756" s="159"/>
      <c r="M756" s="159"/>
      <c r="N756" s="159"/>
      <c r="O756" s="185" t="str">
        <f t="shared" si="37"/>
        <v>-</v>
      </c>
      <c r="P756" s="215" t="str">
        <f t="shared" si="38"/>
        <v>-</v>
      </c>
      <c r="Q756" s="215" cm="1">
        <f t="array" ref="Q756">IF(P756="-",0,P756/(1+'General inputs'!$H$32)^IFERROR(INDEX('MP Calculations'!$C$40:$C$130,MATCH(F756,'MP Calculations'!$D$40:$D$130,0),0),-1))</f>
        <v>0</v>
      </c>
    </row>
    <row r="757" spans="3:17">
      <c r="C757" s="159"/>
      <c r="D757" s="165"/>
      <c r="E757" s="161"/>
      <c r="F757" s="172" t="str">
        <f t="shared" si="36"/>
        <v>-</v>
      </c>
      <c r="G757" s="68"/>
      <c r="H757" s="167"/>
      <c r="I757" s="173"/>
      <c r="J757" s="168" t="str">
        <f>IFERROR(MIN('MP Calculations'!$E$30/I757,1),"-")</f>
        <v>-</v>
      </c>
      <c r="K757" s="12"/>
      <c r="L757" s="159"/>
      <c r="M757" s="159"/>
      <c r="N757" s="159"/>
      <c r="O757" s="185" t="str">
        <f t="shared" si="37"/>
        <v>-</v>
      </c>
      <c r="P757" s="215" t="str">
        <f t="shared" si="38"/>
        <v>-</v>
      </c>
      <c r="Q757" s="215" cm="1">
        <f t="array" ref="Q757">IF(P757="-",0,P757/(1+'General inputs'!$H$32)^IFERROR(INDEX('MP Calculations'!$C$40:$C$130,MATCH(F757,'MP Calculations'!$D$40:$D$130,0),0),-1))</f>
        <v>0</v>
      </c>
    </row>
    <row r="758" spans="3:17">
      <c r="C758" s="159"/>
      <c r="D758" s="165"/>
      <c r="E758" s="161"/>
      <c r="F758" s="172" t="str">
        <f t="shared" si="36"/>
        <v>-</v>
      </c>
      <c r="G758" s="68"/>
      <c r="H758" s="167"/>
      <c r="I758" s="173"/>
      <c r="J758" s="168" t="str">
        <f>IFERROR(MIN('MP Calculations'!$E$30/I758,1),"-")</f>
        <v>-</v>
      </c>
      <c r="K758" s="12"/>
      <c r="L758" s="159"/>
      <c r="M758" s="159"/>
      <c r="N758" s="159"/>
      <c r="O758" s="185" t="str">
        <f t="shared" si="37"/>
        <v>-</v>
      </c>
      <c r="P758" s="215" t="str">
        <f t="shared" si="38"/>
        <v>-</v>
      </c>
      <c r="Q758" s="215" cm="1">
        <f t="array" ref="Q758">IF(P758="-",0,P758/(1+'General inputs'!$H$32)^IFERROR(INDEX('MP Calculations'!$C$40:$C$130,MATCH(F758,'MP Calculations'!$D$40:$D$130,0),0),-1))</f>
        <v>0</v>
      </c>
    </row>
    <row r="759" spans="3:17">
      <c r="C759" s="159"/>
      <c r="D759" s="165"/>
      <c r="E759" s="161"/>
      <c r="F759" s="172" t="str">
        <f t="shared" si="36"/>
        <v>-</v>
      </c>
      <c r="G759" s="68"/>
      <c r="H759" s="167"/>
      <c r="I759" s="173"/>
      <c r="J759" s="168" t="str">
        <f>IFERROR(MIN('MP Calculations'!$E$30/I759,1),"-")</f>
        <v>-</v>
      </c>
      <c r="K759" s="12"/>
      <c r="L759" s="159"/>
      <c r="M759" s="159"/>
      <c r="N759" s="159"/>
      <c r="O759" s="185" t="str">
        <f t="shared" si="37"/>
        <v>-</v>
      </c>
      <c r="P759" s="215" t="str">
        <f t="shared" si="38"/>
        <v>-</v>
      </c>
      <c r="Q759" s="215" cm="1">
        <f t="array" ref="Q759">IF(P759="-",0,P759/(1+'General inputs'!$H$32)^IFERROR(INDEX('MP Calculations'!$C$40:$C$130,MATCH(F759,'MP Calculations'!$D$40:$D$130,0),0),-1))</f>
        <v>0</v>
      </c>
    </row>
    <row r="760" spans="3:17">
      <c r="C760" s="159"/>
      <c r="D760" s="165"/>
      <c r="E760" s="161"/>
      <c r="F760" s="172" t="str">
        <f t="shared" si="36"/>
        <v>-</v>
      </c>
      <c r="G760" s="68"/>
      <c r="H760" s="167"/>
      <c r="I760" s="173"/>
      <c r="J760" s="168" t="str">
        <f>IFERROR(MIN('MP Calculations'!$E$30/I760,1),"-")</f>
        <v>-</v>
      </c>
      <c r="K760" s="12"/>
      <c r="L760" s="159"/>
      <c r="M760" s="159"/>
      <c r="N760" s="159"/>
      <c r="O760" s="185" t="str">
        <f t="shared" si="37"/>
        <v>-</v>
      </c>
      <c r="P760" s="215" t="str">
        <f t="shared" si="38"/>
        <v>-</v>
      </c>
      <c r="Q760" s="215" cm="1">
        <f t="array" ref="Q760">IF(P760="-",0,P760/(1+'General inputs'!$H$32)^IFERROR(INDEX('MP Calculations'!$C$40:$C$130,MATCH(F760,'MP Calculations'!$D$40:$D$130,0),0),-1))</f>
        <v>0</v>
      </c>
    </row>
    <row r="761" spans="3:17">
      <c r="C761" s="159"/>
      <c r="D761" s="165"/>
      <c r="E761" s="161"/>
      <c r="F761" s="172" t="str">
        <f t="shared" si="36"/>
        <v>-</v>
      </c>
      <c r="G761" s="68"/>
      <c r="H761" s="167"/>
      <c r="I761" s="173"/>
      <c r="J761" s="168" t="str">
        <f>IFERROR(MIN('MP Calculations'!$E$30/I761,1),"-")</f>
        <v>-</v>
      </c>
      <c r="K761" s="12"/>
      <c r="L761" s="159"/>
      <c r="M761" s="159"/>
      <c r="N761" s="159"/>
      <c r="O761" s="185" t="str">
        <f t="shared" si="37"/>
        <v>-</v>
      </c>
      <c r="P761" s="215" t="str">
        <f t="shared" si="38"/>
        <v>-</v>
      </c>
      <c r="Q761" s="215" cm="1">
        <f t="array" ref="Q761">IF(P761="-",0,P761/(1+'General inputs'!$H$32)^IFERROR(INDEX('MP Calculations'!$C$40:$C$130,MATCH(F761,'MP Calculations'!$D$40:$D$130,0),0),-1))</f>
        <v>0</v>
      </c>
    </row>
    <row r="762" spans="3:17">
      <c r="C762" s="159"/>
      <c r="D762" s="165"/>
      <c r="E762" s="161"/>
      <c r="F762" s="172" t="str">
        <f t="shared" si="36"/>
        <v>-</v>
      </c>
      <c r="G762" s="68"/>
      <c r="H762" s="167"/>
      <c r="I762" s="173"/>
      <c r="J762" s="168" t="str">
        <f>IFERROR(MIN('MP Calculations'!$E$30/I762,1),"-")</f>
        <v>-</v>
      </c>
      <c r="K762" s="12"/>
      <c r="L762" s="159"/>
      <c r="M762" s="159"/>
      <c r="N762" s="159"/>
      <c r="O762" s="185" t="str">
        <f t="shared" si="37"/>
        <v>-</v>
      </c>
      <c r="P762" s="215" t="str">
        <f t="shared" si="38"/>
        <v>-</v>
      </c>
      <c r="Q762" s="215" cm="1">
        <f t="array" ref="Q762">IF(P762="-",0,P762/(1+'General inputs'!$H$32)^IFERROR(INDEX('MP Calculations'!$C$40:$C$130,MATCH(F762,'MP Calculations'!$D$40:$D$130,0),0),-1))</f>
        <v>0</v>
      </c>
    </row>
    <row r="763" spans="3:17">
      <c r="C763" s="159"/>
      <c r="D763" s="165"/>
      <c r="E763" s="161"/>
      <c r="F763" s="172" t="str">
        <f t="shared" si="36"/>
        <v>-</v>
      </c>
      <c r="G763" s="68"/>
      <c r="H763" s="167"/>
      <c r="I763" s="173"/>
      <c r="J763" s="168" t="str">
        <f>IFERROR(MIN('MP Calculations'!$E$30/I763,1),"-")</f>
        <v>-</v>
      </c>
      <c r="K763" s="12"/>
      <c r="L763" s="159"/>
      <c r="M763" s="159"/>
      <c r="N763" s="159"/>
      <c r="O763" s="185" t="str">
        <f t="shared" si="37"/>
        <v>-</v>
      </c>
      <c r="P763" s="215" t="str">
        <f t="shared" si="38"/>
        <v>-</v>
      </c>
      <c r="Q763" s="215" cm="1">
        <f t="array" ref="Q763">IF(P763="-",0,P763/(1+'General inputs'!$H$32)^IFERROR(INDEX('MP Calculations'!$C$40:$C$130,MATCH(F763,'MP Calculations'!$D$40:$D$130,0),0),-1))</f>
        <v>0</v>
      </c>
    </row>
    <row r="764" spans="3:17">
      <c r="C764" s="159"/>
      <c r="D764" s="165"/>
      <c r="E764" s="161"/>
      <c r="F764" s="172" t="str">
        <f t="shared" si="36"/>
        <v>-</v>
      </c>
      <c r="G764" s="68"/>
      <c r="H764" s="167"/>
      <c r="I764" s="173"/>
      <c r="J764" s="168" t="str">
        <f>IFERROR(MIN('MP Calculations'!$E$30/I764,1),"-")</f>
        <v>-</v>
      </c>
      <c r="K764" s="12"/>
      <c r="L764" s="159"/>
      <c r="M764" s="159"/>
      <c r="N764" s="159"/>
      <c r="O764" s="185" t="str">
        <f t="shared" si="37"/>
        <v>-</v>
      </c>
      <c r="P764" s="215" t="str">
        <f t="shared" si="38"/>
        <v>-</v>
      </c>
      <c r="Q764" s="215" cm="1">
        <f t="array" ref="Q764">IF(P764="-",0,P764/(1+'General inputs'!$H$32)^IFERROR(INDEX('MP Calculations'!$C$40:$C$130,MATCH(F764,'MP Calculations'!$D$40:$D$130,0),0),-1))</f>
        <v>0</v>
      </c>
    </row>
    <row r="765" spans="3:17">
      <c r="C765" s="159"/>
      <c r="D765" s="165"/>
      <c r="E765" s="161"/>
      <c r="F765" s="172" t="str">
        <f t="shared" si="36"/>
        <v>-</v>
      </c>
      <c r="G765" s="68"/>
      <c r="H765" s="167"/>
      <c r="I765" s="173"/>
      <c r="J765" s="168" t="str">
        <f>IFERROR(MIN('MP Calculations'!$E$30/I765,1),"-")</f>
        <v>-</v>
      </c>
      <c r="K765" s="12"/>
      <c r="L765" s="159"/>
      <c r="M765" s="159"/>
      <c r="N765" s="159"/>
      <c r="O765" s="185" t="str">
        <f t="shared" si="37"/>
        <v>-</v>
      </c>
      <c r="P765" s="215" t="str">
        <f t="shared" si="38"/>
        <v>-</v>
      </c>
      <c r="Q765" s="215" cm="1">
        <f t="array" ref="Q765">IF(P765="-",0,P765/(1+'General inputs'!$H$32)^IFERROR(INDEX('MP Calculations'!$C$40:$C$130,MATCH(F765,'MP Calculations'!$D$40:$D$130,0),0),-1))</f>
        <v>0</v>
      </c>
    </row>
    <row r="766" spans="3:17">
      <c r="C766" s="159"/>
      <c r="D766" s="165"/>
      <c r="E766" s="161"/>
      <c r="F766" s="172" t="str">
        <f t="shared" si="36"/>
        <v>-</v>
      </c>
      <c r="G766" s="68"/>
      <c r="H766" s="167"/>
      <c r="I766" s="173"/>
      <c r="J766" s="168" t="str">
        <f>IFERROR(MIN('MP Calculations'!$E$30/I766,1),"-")</f>
        <v>-</v>
      </c>
      <c r="K766" s="12"/>
      <c r="L766" s="159"/>
      <c r="M766" s="159"/>
      <c r="N766" s="159"/>
      <c r="O766" s="185" t="str">
        <f t="shared" si="37"/>
        <v>-</v>
      </c>
      <c r="P766" s="215" t="str">
        <f t="shared" si="38"/>
        <v>-</v>
      </c>
      <c r="Q766" s="215" cm="1">
        <f t="array" ref="Q766">IF(P766="-",0,P766/(1+'General inputs'!$H$32)^IFERROR(INDEX('MP Calculations'!$C$40:$C$130,MATCH(F766,'MP Calculations'!$D$40:$D$130,0),0),-1))</f>
        <v>0</v>
      </c>
    </row>
    <row r="767" spans="3:17">
      <c r="C767" s="159"/>
      <c r="D767" s="165"/>
      <c r="E767" s="161"/>
      <c r="F767" s="172" t="str">
        <f t="shared" si="36"/>
        <v>-</v>
      </c>
      <c r="G767" s="68"/>
      <c r="H767" s="167"/>
      <c r="I767" s="173"/>
      <c r="J767" s="168" t="str">
        <f>IFERROR(MIN('MP Calculations'!$E$30/I767,1),"-")</f>
        <v>-</v>
      </c>
      <c r="K767" s="12"/>
      <c r="L767" s="159"/>
      <c r="M767" s="159"/>
      <c r="N767" s="159"/>
      <c r="O767" s="185" t="str">
        <f t="shared" si="37"/>
        <v>-</v>
      </c>
      <c r="P767" s="215" t="str">
        <f t="shared" si="38"/>
        <v>-</v>
      </c>
      <c r="Q767" s="215" cm="1">
        <f t="array" ref="Q767">IF(P767="-",0,P767/(1+'General inputs'!$H$32)^IFERROR(INDEX('MP Calculations'!$C$40:$C$130,MATCH(F767,'MP Calculations'!$D$40:$D$130,0),0),-1))</f>
        <v>0</v>
      </c>
    </row>
    <row r="768" spans="3:17">
      <c r="C768" s="159"/>
      <c r="D768" s="165"/>
      <c r="E768" s="161"/>
      <c r="F768" s="172" t="str">
        <f t="shared" si="36"/>
        <v>-</v>
      </c>
      <c r="G768" s="68"/>
      <c r="H768" s="167"/>
      <c r="I768" s="173"/>
      <c r="J768" s="168" t="str">
        <f>IFERROR(MIN('MP Calculations'!$E$30/I768,1),"-")</f>
        <v>-</v>
      </c>
      <c r="K768" s="12"/>
      <c r="L768" s="159"/>
      <c r="M768" s="159"/>
      <c r="N768" s="159"/>
      <c r="O768" s="185" t="str">
        <f t="shared" si="37"/>
        <v>-</v>
      </c>
      <c r="P768" s="215" t="str">
        <f t="shared" si="38"/>
        <v>-</v>
      </c>
      <c r="Q768" s="215" cm="1">
        <f t="array" ref="Q768">IF(P768="-",0,P768/(1+'General inputs'!$H$32)^IFERROR(INDEX('MP Calculations'!$C$40:$C$130,MATCH(F768,'MP Calculations'!$D$40:$D$130,0),0),-1))</f>
        <v>0</v>
      </c>
    </row>
    <row r="769" spans="3:17">
      <c r="C769" s="159"/>
      <c r="D769" s="165"/>
      <c r="E769" s="161"/>
      <c r="F769" s="172" t="str">
        <f t="shared" si="36"/>
        <v>-</v>
      </c>
      <c r="G769" s="68"/>
      <c r="H769" s="167"/>
      <c r="I769" s="173"/>
      <c r="J769" s="168" t="str">
        <f>IFERROR(MIN('MP Calculations'!$E$30/I769,1),"-")</f>
        <v>-</v>
      </c>
      <c r="K769" s="12"/>
      <c r="L769" s="159"/>
      <c r="M769" s="159"/>
      <c r="N769" s="159"/>
      <c r="O769" s="185" t="str">
        <f t="shared" si="37"/>
        <v>-</v>
      </c>
      <c r="P769" s="215" t="str">
        <f t="shared" si="38"/>
        <v>-</v>
      </c>
      <c r="Q769" s="215" cm="1">
        <f t="array" ref="Q769">IF(P769="-",0,P769/(1+'General inputs'!$H$32)^IFERROR(INDEX('MP Calculations'!$C$40:$C$130,MATCH(F769,'MP Calculations'!$D$40:$D$130,0),0),-1))</f>
        <v>0</v>
      </c>
    </row>
    <row r="770" spans="3:17">
      <c r="C770" s="159"/>
      <c r="D770" s="165"/>
      <c r="E770" s="161"/>
      <c r="F770" s="172" t="str">
        <f t="shared" si="36"/>
        <v>-</v>
      </c>
      <c r="G770" s="68"/>
      <c r="H770" s="167"/>
      <c r="I770" s="173"/>
      <c r="J770" s="168" t="str">
        <f>IFERROR(MIN('MP Calculations'!$E$30/I770,1),"-")</f>
        <v>-</v>
      </c>
      <c r="K770" s="12"/>
      <c r="L770" s="159"/>
      <c r="M770" s="159"/>
      <c r="N770" s="159"/>
      <c r="O770" s="185" t="str">
        <f t="shared" si="37"/>
        <v>-</v>
      </c>
      <c r="P770" s="215" t="str">
        <f t="shared" si="38"/>
        <v>-</v>
      </c>
      <c r="Q770" s="215" cm="1">
        <f t="array" ref="Q770">IF(P770="-",0,P770/(1+'General inputs'!$H$32)^IFERROR(INDEX('MP Calculations'!$C$40:$C$130,MATCH(F770,'MP Calculations'!$D$40:$D$130,0),0),-1))</f>
        <v>0</v>
      </c>
    </row>
    <row r="771" spans="3:17">
      <c r="C771" s="159"/>
      <c r="D771" s="165"/>
      <c r="E771" s="161"/>
      <c r="F771" s="172" t="str">
        <f t="shared" si="36"/>
        <v>-</v>
      </c>
      <c r="G771" s="68"/>
      <c r="H771" s="167"/>
      <c r="I771" s="173"/>
      <c r="J771" s="168" t="str">
        <f>IFERROR(MIN('MP Calculations'!$E$30/I771,1),"-")</f>
        <v>-</v>
      </c>
      <c r="K771" s="12"/>
      <c r="L771" s="159"/>
      <c r="M771" s="159"/>
      <c r="N771" s="159"/>
      <c r="O771" s="185" t="str">
        <f t="shared" si="37"/>
        <v>-</v>
      </c>
      <c r="P771" s="215" t="str">
        <f t="shared" si="38"/>
        <v>-</v>
      </c>
      <c r="Q771" s="215" cm="1">
        <f t="array" ref="Q771">IF(P771="-",0,P771/(1+'General inputs'!$H$32)^IFERROR(INDEX('MP Calculations'!$C$40:$C$130,MATCH(F771,'MP Calculations'!$D$40:$D$130,0),0),-1))</f>
        <v>0</v>
      </c>
    </row>
    <row r="772" spans="3:17">
      <c r="C772" s="159"/>
      <c r="D772" s="165"/>
      <c r="E772" s="161"/>
      <c r="F772" s="172" t="str">
        <f t="shared" si="36"/>
        <v>-</v>
      </c>
      <c r="G772" s="68"/>
      <c r="H772" s="167"/>
      <c r="I772" s="173"/>
      <c r="J772" s="168" t="str">
        <f>IFERROR(MIN('MP Calculations'!$E$30/I772,1),"-")</f>
        <v>-</v>
      </c>
      <c r="K772" s="12"/>
      <c r="L772" s="159"/>
      <c r="M772" s="159"/>
      <c r="N772" s="159"/>
      <c r="O772" s="185" t="str">
        <f t="shared" si="37"/>
        <v>-</v>
      </c>
      <c r="P772" s="215" t="str">
        <f t="shared" si="38"/>
        <v>-</v>
      </c>
      <c r="Q772" s="215" cm="1">
        <f t="array" ref="Q772">IF(P772="-",0,P772/(1+'General inputs'!$H$32)^IFERROR(INDEX('MP Calculations'!$C$40:$C$130,MATCH(F772,'MP Calculations'!$D$40:$D$130,0),0),-1))</f>
        <v>0</v>
      </c>
    </row>
    <row r="773" spans="3:17">
      <c r="C773" s="159"/>
      <c r="D773" s="165"/>
      <c r="E773" s="161"/>
      <c r="F773" s="172" t="str">
        <f t="shared" si="36"/>
        <v>-</v>
      </c>
      <c r="G773" s="68"/>
      <c r="H773" s="167"/>
      <c r="I773" s="173"/>
      <c r="J773" s="168" t="str">
        <f>IFERROR(MIN('MP Calculations'!$E$30/I773,1),"-")</f>
        <v>-</v>
      </c>
      <c r="K773" s="12"/>
      <c r="L773" s="159"/>
      <c r="M773" s="159"/>
      <c r="N773" s="159"/>
      <c r="O773" s="185" t="str">
        <f t="shared" si="37"/>
        <v>-</v>
      </c>
      <c r="P773" s="215" t="str">
        <f t="shared" si="38"/>
        <v>-</v>
      </c>
      <c r="Q773" s="215" cm="1">
        <f t="array" ref="Q773">IF(P773="-",0,P773/(1+'General inputs'!$H$32)^IFERROR(INDEX('MP Calculations'!$C$40:$C$130,MATCH(F773,'MP Calculations'!$D$40:$D$130,0),0),-1))</f>
        <v>0</v>
      </c>
    </row>
    <row r="774" spans="3:17">
      <c r="C774" s="159"/>
      <c r="D774" s="165"/>
      <c r="E774" s="161"/>
      <c r="F774" s="172" t="str">
        <f t="shared" si="36"/>
        <v>-</v>
      </c>
      <c r="G774" s="68"/>
      <c r="H774" s="167"/>
      <c r="I774" s="173"/>
      <c r="J774" s="168" t="str">
        <f>IFERROR(MIN('MP Calculations'!$E$30/I774,1),"-")</f>
        <v>-</v>
      </c>
      <c r="K774" s="12"/>
      <c r="L774" s="159"/>
      <c r="M774" s="159"/>
      <c r="N774" s="159"/>
      <c r="O774" s="185" t="str">
        <f t="shared" si="37"/>
        <v>-</v>
      </c>
      <c r="P774" s="215" t="str">
        <f t="shared" si="38"/>
        <v>-</v>
      </c>
      <c r="Q774" s="215" cm="1">
        <f t="array" ref="Q774">IF(P774="-",0,P774/(1+'General inputs'!$H$32)^IFERROR(INDEX('MP Calculations'!$C$40:$C$130,MATCH(F774,'MP Calculations'!$D$40:$D$130,0),0),-1))</f>
        <v>0</v>
      </c>
    </row>
    <row r="775" spans="3:17">
      <c r="C775" s="159"/>
      <c r="D775" s="165"/>
      <c r="E775" s="161"/>
      <c r="F775" s="172" t="str">
        <f t="shared" si="36"/>
        <v>-</v>
      </c>
      <c r="G775" s="68"/>
      <c r="H775" s="167"/>
      <c r="I775" s="173"/>
      <c r="J775" s="168" t="str">
        <f>IFERROR(MIN('MP Calculations'!$E$30/I775,1),"-")</f>
        <v>-</v>
      </c>
      <c r="K775" s="12"/>
      <c r="L775" s="159"/>
      <c r="M775" s="159"/>
      <c r="N775" s="159"/>
      <c r="O775" s="185" t="str">
        <f t="shared" si="37"/>
        <v>-</v>
      </c>
      <c r="P775" s="215" t="str">
        <f t="shared" si="38"/>
        <v>-</v>
      </c>
      <c r="Q775" s="215" cm="1">
        <f t="array" ref="Q775">IF(P775="-",0,P775/(1+'General inputs'!$H$32)^IFERROR(INDEX('MP Calculations'!$C$40:$C$130,MATCH(F775,'MP Calculations'!$D$40:$D$130,0),0),-1))</f>
        <v>0</v>
      </c>
    </row>
    <row r="776" spans="3:17">
      <c r="C776" s="159"/>
      <c r="D776" s="165"/>
      <c r="E776" s="161"/>
      <c r="F776" s="172" t="str">
        <f t="shared" si="36"/>
        <v>-</v>
      </c>
      <c r="G776" s="68"/>
      <c r="H776" s="167"/>
      <c r="I776" s="173"/>
      <c r="J776" s="168" t="str">
        <f>IFERROR(MIN('MP Calculations'!$E$30/I776,1),"-")</f>
        <v>-</v>
      </c>
      <c r="K776" s="12"/>
      <c r="L776" s="159"/>
      <c r="M776" s="159"/>
      <c r="N776" s="159"/>
      <c r="O776" s="185" t="str">
        <f t="shared" si="37"/>
        <v>-</v>
      </c>
      <c r="P776" s="215" t="str">
        <f t="shared" si="38"/>
        <v>-</v>
      </c>
      <c r="Q776" s="215" cm="1">
        <f t="array" ref="Q776">IF(P776="-",0,P776/(1+'General inputs'!$H$32)^IFERROR(INDEX('MP Calculations'!$C$40:$C$130,MATCH(F776,'MP Calculations'!$D$40:$D$130,0),0),-1))</f>
        <v>0</v>
      </c>
    </row>
    <row r="777" spans="3:17">
      <c r="C777" s="159"/>
      <c r="D777" s="165"/>
      <c r="E777" s="161"/>
      <c r="F777" s="172" t="str">
        <f t="shared" si="36"/>
        <v>-</v>
      </c>
      <c r="G777" s="68"/>
      <c r="H777" s="167"/>
      <c r="I777" s="173"/>
      <c r="J777" s="168" t="str">
        <f>IFERROR(MIN('MP Calculations'!$E$30/I777,1),"-")</f>
        <v>-</v>
      </c>
      <c r="K777" s="12"/>
      <c r="L777" s="159"/>
      <c r="M777" s="159"/>
      <c r="N777" s="159"/>
      <c r="O777" s="185" t="str">
        <f t="shared" si="37"/>
        <v>-</v>
      </c>
      <c r="P777" s="215" t="str">
        <f t="shared" si="38"/>
        <v>-</v>
      </c>
      <c r="Q777" s="215" cm="1">
        <f t="array" ref="Q777">IF(P777="-",0,P777/(1+'General inputs'!$H$32)^IFERROR(INDEX('MP Calculations'!$C$40:$C$130,MATCH(F777,'MP Calculations'!$D$40:$D$130,0),0),-1))</f>
        <v>0</v>
      </c>
    </row>
    <row r="778" spans="3:17">
      <c r="C778" s="159"/>
      <c r="D778" s="165"/>
      <c r="E778" s="161"/>
      <c r="F778" s="172" t="str">
        <f t="shared" si="36"/>
        <v>-</v>
      </c>
      <c r="G778" s="68"/>
      <c r="H778" s="167"/>
      <c r="I778" s="173"/>
      <c r="J778" s="168" t="str">
        <f>IFERROR(MIN('MP Calculations'!$E$30/I778,1),"-")</f>
        <v>-</v>
      </c>
      <c r="K778" s="12"/>
      <c r="L778" s="159"/>
      <c r="M778" s="159"/>
      <c r="N778" s="159"/>
      <c r="O778" s="185" t="str">
        <f t="shared" si="37"/>
        <v>-</v>
      </c>
      <c r="P778" s="215" t="str">
        <f t="shared" si="38"/>
        <v>-</v>
      </c>
      <c r="Q778" s="215" cm="1">
        <f t="array" ref="Q778">IF(P778="-",0,P778/(1+'General inputs'!$H$32)^IFERROR(INDEX('MP Calculations'!$C$40:$C$130,MATCH(F778,'MP Calculations'!$D$40:$D$130,0),0),-1))</f>
        <v>0</v>
      </c>
    </row>
    <row r="779" spans="3:17">
      <c r="C779" s="159"/>
      <c r="D779" s="165"/>
      <c r="E779" s="161"/>
      <c r="F779" s="172" t="str">
        <f t="shared" si="36"/>
        <v>-</v>
      </c>
      <c r="G779" s="68"/>
      <c r="H779" s="167"/>
      <c r="I779" s="173"/>
      <c r="J779" s="168" t="str">
        <f>IFERROR(MIN('MP Calculations'!$E$30/I779,1),"-")</f>
        <v>-</v>
      </c>
      <c r="K779" s="12"/>
      <c r="L779" s="159"/>
      <c r="M779" s="159"/>
      <c r="N779" s="159"/>
      <c r="O779" s="185" t="str">
        <f t="shared" si="37"/>
        <v>-</v>
      </c>
      <c r="P779" s="215" t="str">
        <f t="shared" si="38"/>
        <v>-</v>
      </c>
      <c r="Q779" s="215" cm="1">
        <f t="array" ref="Q779">IF(P779="-",0,P779/(1+'General inputs'!$H$32)^IFERROR(INDEX('MP Calculations'!$C$40:$C$130,MATCH(F779,'MP Calculations'!$D$40:$D$130,0),0),-1))</f>
        <v>0</v>
      </c>
    </row>
    <row r="780" spans="3:17">
      <c r="C780" s="159"/>
      <c r="D780" s="165"/>
      <c r="E780" s="161"/>
      <c r="F780" s="172" t="str">
        <f t="shared" si="36"/>
        <v>-</v>
      </c>
      <c r="G780" s="68"/>
      <c r="H780" s="167"/>
      <c r="I780" s="173"/>
      <c r="J780" s="168" t="str">
        <f>IFERROR(MIN('MP Calculations'!$E$30/I780,1),"-")</f>
        <v>-</v>
      </c>
      <c r="K780" s="12"/>
      <c r="L780" s="159"/>
      <c r="M780" s="159"/>
      <c r="N780" s="159"/>
      <c r="O780" s="185" t="str">
        <f t="shared" si="37"/>
        <v>-</v>
      </c>
      <c r="P780" s="215" t="str">
        <f t="shared" si="38"/>
        <v>-</v>
      </c>
      <c r="Q780" s="215" cm="1">
        <f t="array" ref="Q780">IF(P780="-",0,P780/(1+'General inputs'!$H$32)^IFERROR(INDEX('MP Calculations'!$C$40:$C$130,MATCH(F780,'MP Calculations'!$D$40:$D$130,0),0),-1))</f>
        <v>0</v>
      </c>
    </row>
    <row r="781" spans="3:17">
      <c r="C781" s="159"/>
      <c r="D781" s="165"/>
      <c r="E781" s="161"/>
      <c r="F781" s="172" t="str">
        <f t="shared" si="36"/>
        <v>-</v>
      </c>
      <c r="G781" s="68"/>
      <c r="H781" s="167"/>
      <c r="I781" s="173"/>
      <c r="J781" s="168" t="str">
        <f>IFERROR(MIN('MP Calculations'!$E$30/I781,1),"-")</f>
        <v>-</v>
      </c>
      <c r="K781" s="12"/>
      <c r="L781" s="159"/>
      <c r="M781" s="159"/>
      <c r="N781" s="159"/>
      <c r="O781" s="185" t="str">
        <f t="shared" si="37"/>
        <v>-</v>
      </c>
      <c r="P781" s="215" t="str">
        <f t="shared" si="38"/>
        <v>-</v>
      </c>
      <c r="Q781" s="215" cm="1">
        <f t="array" ref="Q781">IF(P781="-",0,P781/(1+'General inputs'!$H$32)^IFERROR(INDEX('MP Calculations'!$C$40:$C$130,MATCH(F781,'MP Calculations'!$D$40:$D$130,0),0),-1))</f>
        <v>0</v>
      </c>
    </row>
    <row r="782" spans="3:17">
      <c r="C782" s="159"/>
      <c r="D782" s="165"/>
      <c r="E782" s="161"/>
      <c r="F782" s="172" t="str">
        <f t="shared" si="36"/>
        <v>-</v>
      </c>
      <c r="G782" s="68"/>
      <c r="H782" s="167"/>
      <c r="I782" s="173"/>
      <c r="J782" s="168" t="str">
        <f>IFERROR(MIN('MP Calculations'!$E$30/I782,1),"-")</f>
        <v>-</v>
      </c>
      <c r="K782" s="12"/>
      <c r="L782" s="159"/>
      <c r="M782" s="159"/>
      <c r="N782" s="159"/>
      <c r="O782" s="185" t="str">
        <f t="shared" si="37"/>
        <v>-</v>
      </c>
      <c r="P782" s="215" t="str">
        <f t="shared" si="38"/>
        <v>-</v>
      </c>
      <c r="Q782" s="215" cm="1">
        <f t="array" ref="Q782">IF(P782="-",0,P782/(1+'General inputs'!$H$32)^IFERROR(INDEX('MP Calculations'!$C$40:$C$130,MATCH(F782,'MP Calculations'!$D$40:$D$130,0),0),-1))</f>
        <v>0</v>
      </c>
    </row>
    <row r="783" spans="3:17">
      <c r="C783" s="159"/>
      <c r="D783" s="165"/>
      <c r="E783" s="161"/>
      <c r="F783" s="172" t="str">
        <f t="shared" si="36"/>
        <v>-</v>
      </c>
      <c r="G783" s="68"/>
      <c r="H783" s="167"/>
      <c r="I783" s="173"/>
      <c r="J783" s="168" t="str">
        <f>IFERROR(MIN('MP Calculations'!$E$30/I783,1),"-")</f>
        <v>-</v>
      </c>
      <c r="K783" s="12"/>
      <c r="L783" s="159"/>
      <c r="M783" s="159"/>
      <c r="N783" s="159"/>
      <c r="O783" s="185" t="str">
        <f t="shared" si="37"/>
        <v>-</v>
      </c>
      <c r="P783" s="215" t="str">
        <f t="shared" si="38"/>
        <v>-</v>
      </c>
      <c r="Q783" s="215" cm="1">
        <f t="array" ref="Q783">IF(P783="-",0,P783/(1+'General inputs'!$H$32)^IFERROR(INDEX('MP Calculations'!$C$40:$C$130,MATCH(F783,'MP Calculations'!$D$40:$D$130,0),0),-1))</f>
        <v>0</v>
      </c>
    </row>
    <row r="784" spans="3:17">
      <c r="C784" s="159"/>
      <c r="D784" s="165"/>
      <c r="E784" s="161"/>
      <c r="F784" s="172" t="str">
        <f t="shared" si="36"/>
        <v>-</v>
      </c>
      <c r="G784" s="68"/>
      <c r="H784" s="167"/>
      <c r="I784" s="173"/>
      <c r="J784" s="168" t="str">
        <f>IFERROR(MIN('MP Calculations'!$E$30/I784,1),"-")</f>
        <v>-</v>
      </c>
      <c r="K784" s="12"/>
      <c r="L784" s="159"/>
      <c r="M784" s="159"/>
      <c r="N784" s="159"/>
      <c r="O784" s="185" t="str">
        <f t="shared" si="37"/>
        <v>-</v>
      </c>
      <c r="P784" s="215" t="str">
        <f t="shared" si="38"/>
        <v>-</v>
      </c>
      <c r="Q784" s="215" cm="1">
        <f t="array" ref="Q784">IF(P784="-",0,P784/(1+'General inputs'!$H$32)^IFERROR(INDEX('MP Calculations'!$C$40:$C$130,MATCH(F784,'MP Calculations'!$D$40:$D$130,0),0),-1))</f>
        <v>0</v>
      </c>
    </row>
    <row r="785" spans="3:17">
      <c r="C785" s="159"/>
      <c r="D785" s="165"/>
      <c r="E785" s="161"/>
      <c r="F785" s="172" t="str">
        <f t="shared" si="36"/>
        <v>-</v>
      </c>
      <c r="G785" s="68"/>
      <c r="H785" s="167"/>
      <c r="I785" s="173"/>
      <c r="J785" s="168" t="str">
        <f>IFERROR(MIN('MP Calculations'!$E$30/I785,1),"-")</f>
        <v>-</v>
      </c>
      <c r="K785" s="12"/>
      <c r="L785" s="159"/>
      <c r="M785" s="159"/>
      <c r="N785" s="159"/>
      <c r="O785" s="185" t="str">
        <f t="shared" si="37"/>
        <v>-</v>
      </c>
      <c r="P785" s="215" t="str">
        <f t="shared" si="38"/>
        <v>-</v>
      </c>
      <c r="Q785" s="215" cm="1">
        <f t="array" ref="Q785">IF(P785="-",0,P785/(1+'General inputs'!$H$32)^IFERROR(INDEX('MP Calculations'!$C$40:$C$130,MATCH(F785,'MP Calculations'!$D$40:$D$130,0),0),-1))</f>
        <v>0</v>
      </c>
    </row>
    <row r="786" spans="3:17">
      <c r="C786" s="159"/>
      <c r="D786" s="165"/>
      <c r="E786" s="161"/>
      <c r="F786" s="172" t="str">
        <f t="shared" si="36"/>
        <v>-</v>
      </c>
      <c r="G786" s="68"/>
      <c r="H786" s="167"/>
      <c r="I786" s="173"/>
      <c r="J786" s="168" t="str">
        <f>IFERROR(MIN('MP Calculations'!$E$30/I786,1),"-")</f>
        <v>-</v>
      </c>
      <c r="K786" s="12"/>
      <c r="L786" s="159"/>
      <c r="M786" s="159"/>
      <c r="N786" s="159"/>
      <c r="O786" s="185" t="str">
        <f t="shared" si="37"/>
        <v>-</v>
      </c>
      <c r="P786" s="215" t="str">
        <f t="shared" si="38"/>
        <v>-</v>
      </c>
      <c r="Q786" s="215" cm="1">
        <f t="array" ref="Q786">IF(P786="-",0,P786/(1+'General inputs'!$H$32)^IFERROR(INDEX('MP Calculations'!$C$40:$C$130,MATCH(F786,'MP Calculations'!$D$40:$D$130,0),0),-1))</f>
        <v>0</v>
      </c>
    </row>
    <row r="787" spans="3:17">
      <c r="C787" s="159"/>
      <c r="D787" s="165"/>
      <c r="E787" s="161"/>
      <c r="F787" s="172" t="str">
        <f t="shared" si="36"/>
        <v>-</v>
      </c>
      <c r="G787" s="68"/>
      <c r="H787" s="167"/>
      <c r="I787" s="173"/>
      <c r="J787" s="168" t="str">
        <f>IFERROR(MIN('MP Calculations'!$E$30/I787,1),"-")</f>
        <v>-</v>
      </c>
      <c r="K787" s="12"/>
      <c r="L787" s="159"/>
      <c r="M787" s="159"/>
      <c r="N787" s="159"/>
      <c r="O787" s="185" t="str">
        <f t="shared" si="37"/>
        <v>-</v>
      </c>
      <c r="P787" s="215" t="str">
        <f t="shared" si="38"/>
        <v>-</v>
      </c>
      <c r="Q787" s="215" cm="1">
        <f t="array" ref="Q787">IF(P787="-",0,P787/(1+'General inputs'!$H$32)^IFERROR(INDEX('MP Calculations'!$C$40:$C$130,MATCH(F787,'MP Calculations'!$D$40:$D$130,0),0),-1))</f>
        <v>0</v>
      </c>
    </row>
    <row r="788" spans="3:17">
      <c r="C788" s="159"/>
      <c r="D788" s="165"/>
      <c r="E788" s="161"/>
      <c r="F788" s="172" t="str">
        <f t="shared" si="36"/>
        <v>-</v>
      </c>
      <c r="G788" s="68"/>
      <c r="H788" s="167"/>
      <c r="I788" s="173"/>
      <c r="J788" s="168" t="str">
        <f>IFERROR(MIN('MP Calculations'!$E$30/I788,1),"-")</f>
        <v>-</v>
      </c>
      <c r="K788" s="12"/>
      <c r="L788" s="159"/>
      <c r="M788" s="159"/>
      <c r="N788" s="159"/>
      <c r="O788" s="185" t="str">
        <f t="shared" si="37"/>
        <v>-</v>
      </c>
      <c r="P788" s="215" t="str">
        <f t="shared" si="38"/>
        <v>-</v>
      </c>
      <c r="Q788" s="215" cm="1">
        <f t="array" ref="Q788">IF(P788="-",0,P788/(1+'General inputs'!$H$32)^IFERROR(INDEX('MP Calculations'!$C$40:$C$130,MATCH(F788,'MP Calculations'!$D$40:$D$130,0),0),-1))</f>
        <v>0</v>
      </c>
    </row>
    <row r="789" spans="3:17">
      <c r="C789" s="159"/>
      <c r="D789" s="165"/>
      <c r="E789" s="161"/>
      <c r="F789" s="172" t="str">
        <f t="shared" si="36"/>
        <v>-</v>
      </c>
      <c r="G789" s="68"/>
      <c r="H789" s="167"/>
      <c r="I789" s="173"/>
      <c r="J789" s="168" t="str">
        <f>IFERROR(MIN('MP Calculations'!$E$30/I789,1),"-")</f>
        <v>-</v>
      </c>
      <c r="K789" s="12"/>
      <c r="L789" s="159"/>
      <c r="M789" s="159"/>
      <c r="N789" s="159"/>
      <c r="O789" s="185" t="str">
        <f t="shared" si="37"/>
        <v>-</v>
      </c>
      <c r="P789" s="215" t="str">
        <f t="shared" si="38"/>
        <v>-</v>
      </c>
      <c r="Q789" s="215" cm="1">
        <f t="array" ref="Q789">IF(P789="-",0,P789/(1+'General inputs'!$H$32)^IFERROR(INDEX('MP Calculations'!$C$40:$C$130,MATCH(F789,'MP Calculations'!$D$40:$D$130,0),0),-1))</f>
        <v>0</v>
      </c>
    </row>
    <row r="790" spans="3:17">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5" t="str">
        <f t="shared" ref="O790:O853" si="40">IF(N790="","-",L790*N790)</f>
        <v>-</v>
      </c>
      <c r="P790" s="215" t="str">
        <f t="shared" ref="P790:P853" si="41">IF(O790="-","-",IF(OR(E790&lt;$E$15,E790&gt;$E$16),0,O790*J790))</f>
        <v>-</v>
      </c>
      <c r="Q790" s="215" cm="1">
        <f t="array" ref="Q790">IF(P790="-",0,P790/(1+'General inputs'!$H$32)^IFERROR(INDEX('MP Calculations'!$C$40:$C$130,MATCH(F790,'MP Calculations'!$D$40:$D$130,0),0),-1))</f>
        <v>0</v>
      </c>
    </row>
    <row r="791" spans="3:17">
      <c r="C791" s="159"/>
      <c r="D791" s="165"/>
      <c r="E791" s="161"/>
      <c r="F791" s="172" t="str">
        <f t="shared" si="39"/>
        <v>-</v>
      </c>
      <c r="G791" s="68"/>
      <c r="H791" s="167"/>
      <c r="I791" s="173"/>
      <c r="J791" s="168" t="str">
        <f>IFERROR(MIN('MP Calculations'!$E$30/I791,1),"-")</f>
        <v>-</v>
      </c>
      <c r="K791" s="12"/>
      <c r="L791" s="159"/>
      <c r="M791" s="159"/>
      <c r="N791" s="159"/>
      <c r="O791" s="185" t="str">
        <f t="shared" si="40"/>
        <v>-</v>
      </c>
      <c r="P791" s="215" t="str">
        <f t="shared" si="41"/>
        <v>-</v>
      </c>
      <c r="Q791" s="215" cm="1">
        <f t="array" ref="Q791">IF(P791="-",0,P791/(1+'General inputs'!$H$32)^IFERROR(INDEX('MP Calculations'!$C$40:$C$130,MATCH(F791,'MP Calculations'!$D$40:$D$130,0),0),-1))</f>
        <v>0</v>
      </c>
    </row>
    <row r="792" spans="3:17">
      <c r="C792" s="159"/>
      <c r="D792" s="165"/>
      <c r="E792" s="161"/>
      <c r="F792" s="172" t="str">
        <f t="shared" si="39"/>
        <v>-</v>
      </c>
      <c r="G792" s="68"/>
      <c r="H792" s="167"/>
      <c r="I792" s="173"/>
      <c r="J792" s="168" t="str">
        <f>IFERROR(MIN('MP Calculations'!$E$30/I792,1),"-")</f>
        <v>-</v>
      </c>
      <c r="K792" s="12"/>
      <c r="L792" s="159"/>
      <c r="M792" s="159"/>
      <c r="N792" s="159"/>
      <c r="O792" s="185" t="str">
        <f t="shared" si="40"/>
        <v>-</v>
      </c>
      <c r="P792" s="215" t="str">
        <f t="shared" si="41"/>
        <v>-</v>
      </c>
      <c r="Q792" s="215" cm="1">
        <f t="array" ref="Q792">IF(P792="-",0,P792/(1+'General inputs'!$H$32)^IFERROR(INDEX('MP Calculations'!$C$40:$C$130,MATCH(F792,'MP Calculations'!$D$40:$D$130,0),0),-1))</f>
        <v>0</v>
      </c>
    </row>
    <row r="793" spans="3:17">
      <c r="C793" s="159"/>
      <c r="D793" s="165"/>
      <c r="E793" s="161"/>
      <c r="F793" s="172" t="str">
        <f t="shared" si="39"/>
        <v>-</v>
      </c>
      <c r="G793" s="68"/>
      <c r="H793" s="167"/>
      <c r="I793" s="173"/>
      <c r="J793" s="168" t="str">
        <f>IFERROR(MIN('MP Calculations'!$E$30/I793,1),"-")</f>
        <v>-</v>
      </c>
      <c r="K793" s="12"/>
      <c r="L793" s="159"/>
      <c r="M793" s="159"/>
      <c r="N793" s="159"/>
      <c r="O793" s="185" t="str">
        <f t="shared" si="40"/>
        <v>-</v>
      </c>
      <c r="P793" s="215" t="str">
        <f t="shared" si="41"/>
        <v>-</v>
      </c>
      <c r="Q793" s="215" cm="1">
        <f t="array" ref="Q793">IF(P793="-",0,P793/(1+'General inputs'!$H$32)^IFERROR(INDEX('MP Calculations'!$C$40:$C$130,MATCH(F793,'MP Calculations'!$D$40:$D$130,0),0),-1))</f>
        <v>0</v>
      </c>
    </row>
    <row r="794" spans="3:17">
      <c r="C794" s="159"/>
      <c r="D794" s="165"/>
      <c r="E794" s="161"/>
      <c r="F794" s="172" t="str">
        <f t="shared" si="39"/>
        <v>-</v>
      </c>
      <c r="G794" s="68"/>
      <c r="H794" s="167"/>
      <c r="I794" s="173"/>
      <c r="J794" s="168" t="str">
        <f>IFERROR(MIN('MP Calculations'!$E$30/I794,1),"-")</f>
        <v>-</v>
      </c>
      <c r="K794" s="12"/>
      <c r="L794" s="159"/>
      <c r="M794" s="159"/>
      <c r="N794" s="159"/>
      <c r="O794" s="185" t="str">
        <f t="shared" si="40"/>
        <v>-</v>
      </c>
      <c r="P794" s="215" t="str">
        <f t="shared" si="41"/>
        <v>-</v>
      </c>
      <c r="Q794" s="215" cm="1">
        <f t="array" ref="Q794">IF(P794="-",0,P794/(1+'General inputs'!$H$32)^IFERROR(INDEX('MP Calculations'!$C$40:$C$130,MATCH(F794,'MP Calculations'!$D$40:$D$130,0),0),-1))</f>
        <v>0</v>
      </c>
    </row>
    <row r="795" spans="3:17">
      <c r="C795" s="159"/>
      <c r="D795" s="165"/>
      <c r="E795" s="161"/>
      <c r="F795" s="172" t="str">
        <f t="shared" si="39"/>
        <v>-</v>
      </c>
      <c r="G795" s="68"/>
      <c r="H795" s="167"/>
      <c r="I795" s="173"/>
      <c r="J795" s="168" t="str">
        <f>IFERROR(MIN('MP Calculations'!$E$30/I795,1),"-")</f>
        <v>-</v>
      </c>
      <c r="K795" s="12"/>
      <c r="L795" s="159"/>
      <c r="M795" s="159"/>
      <c r="N795" s="159"/>
      <c r="O795" s="185" t="str">
        <f t="shared" si="40"/>
        <v>-</v>
      </c>
      <c r="P795" s="215" t="str">
        <f t="shared" si="41"/>
        <v>-</v>
      </c>
      <c r="Q795" s="215" cm="1">
        <f t="array" ref="Q795">IF(P795="-",0,P795/(1+'General inputs'!$H$32)^IFERROR(INDEX('MP Calculations'!$C$40:$C$130,MATCH(F795,'MP Calculations'!$D$40:$D$130,0),0),-1))</f>
        <v>0</v>
      </c>
    </row>
    <row r="796" spans="3:17">
      <c r="C796" s="159"/>
      <c r="D796" s="165"/>
      <c r="E796" s="161"/>
      <c r="F796" s="172" t="str">
        <f t="shared" si="39"/>
        <v>-</v>
      </c>
      <c r="G796" s="68"/>
      <c r="H796" s="167"/>
      <c r="I796" s="173"/>
      <c r="J796" s="168" t="str">
        <f>IFERROR(MIN('MP Calculations'!$E$30/I796,1),"-")</f>
        <v>-</v>
      </c>
      <c r="K796" s="12"/>
      <c r="L796" s="159"/>
      <c r="M796" s="159"/>
      <c r="N796" s="159"/>
      <c r="O796" s="185" t="str">
        <f t="shared" si="40"/>
        <v>-</v>
      </c>
      <c r="P796" s="215" t="str">
        <f t="shared" si="41"/>
        <v>-</v>
      </c>
      <c r="Q796" s="215" cm="1">
        <f t="array" ref="Q796">IF(P796="-",0,P796/(1+'General inputs'!$H$32)^IFERROR(INDEX('MP Calculations'!$C$40:$C$130,MATCH(F796,'MP Calculations'!$D$40:$D$130,0),0),-1))</f>
        <v>0</v>
      </c>
    </row>
    <row r="797" spans="3:17">
      <c r="C797" s="159"/>
      <c r="D797" s="165"/>
      <c r="E797" s="161"/>
      <c r="F797" s="172" t="str">
        <f t="shared" si="39"/>
        <v>-</v>
      </c>
      <c r="G797" s="68"/>
      <c r="H797" s="167"/>
      <c r="I797" s="173"/>
      <c r="J797" s="168" t="str">
        <f>IFERROR(MIN('MP Calculations'!$E$30/I797,1),"-")</f>
        <v>-</v>
      </c>
      <c r="K797" s="12"/>
      <c r="L797" s="159"/>
      <c r="M797" s="159"/>
      <c r="N797" s="159"/>
      <c r="O797" s="185" t="str">
        <f t="shared" si="40"/>
        <v>-</v>
      </c>
      <c r="P797" s="215" t="str">
        <f t="shared" si="41"/>
        <v>-</v>
      </c>
      <c r="Q797" s="215" cm="1">
        <f t="array" ref="Q797">IF(P797="-",0,P797/(1+'General inputs'!$H$32)^IFERROR(INDEX('MP Calculations'!$C$40:$C$130,MATCH(F797,'MP Calculations'!$D$40:$D$130,0),0),-1))</f>
        <v>0</v>
      </c>
    </row>
    <row r="798" spans="3:17">
      <c r="C798" s="159"/>
      <c r="D798" s="165"/>
      <c r="E798" s="161"/>
      <c r="F798" s="172" t="str">
        <f t="shared" si="39"/>
        <v>-</v>
      </c>
      <c r="G798" s="68"/>
      <c r="H798" s="167"/>
      <c r="I798" s="173"/>
      <c r="J798" s="168" t="str">
        <f>IFERROR(MIN('MP Calculations'!$E$30/I798,1),"-")</f>
        <v>-</v>
      </c>
      <c r="K798" s="12"/>
      <c r="L798" s="159"/>
      <c r="M798" s="159"/>
      <c r="N798" s="159"/>
      <c r="O798" s="185" t="str">
        <f t="shared" si="40"/>
        <v>-</v>
      </c>
      <c r="P798" s="215" t="str">
        <f t="shared" si="41"/>
        <v>-</v>
      </c>
      <c r="Q798" s="215" cm="1">
        <f t="array" ref="Q798">IF(P798="-",0,P798/(1+'General inputs'!$H$32)^IFERROR(INDEX('MP Calculations'!$C$40:$C$130,MATCH(F798,'MP Calculations'!$D$40:$D$130,0),0),-1))</f>
        <v>0</v>
      </c>
    </row>
    <row r="799" spans="3:17">
      <c r="C799" s="159"/>
      <c r="D799" s="165"/>
      <c r="E799" s="161"/>
      <c r="F799" s="172" t="str">
        <f t="shared" si="39"/>
        <v>-</v>
      </c>
      <c r="G799" s="68"/>
      <c r="H799" s="167"/>
      <c r="I799" s="173"/>
      <c r="J799" s="168" t="str">
        <f>IFERROR(MIN('MP Calculations'!$E$30/I799,1),"-")</f>
        <v>-</v>
      </c>
      <c r="K799" s="12"/>
      <c r="L799" s="159"/>
      <c r="M799" s="159"/>
      <c r="N799" s="159"/>
      <c r="O799" s="185" t="str">
        <f t="shared" si="40"/>
        <v>-</v>
      </c>
      <c r="P799" s="215" t="str">
        <f t="shared" si="41"/>
        <v>-</v>
      </c>
      <c r="Q799" s="215" cm="1">
        <f t="array" ref="Q799">IF(P799="-",0,P799/(1+'General inputs'!$H$32)^IFERROR(INDEX('MP Calculations'!$C$40:$C$130,MATCH(F799,'MP Calculations'!$D$40:$D$130,0),0),-1))</f>
        <v>0</v>
      </c>
    </row>
    <row r="800" spans="3:17">
      <c r="C800" s="159"/>
      <c r="D800" s="165"/>
      <c r="E800" s="161"/>
      <c r="F800" s="172" t="str">
        <f t="shared" si="39"/>
        <v>-</v>
      </c>
      <c r="G800" s="68"/>
      <c r="H800" s="167"/>
      <c r="I800" s="173"/>
      <c r="J800" s="168" t="str">
        <f>IFERROR(MIN('MP Calculations'!$E$30/I800,1),"-")</f>
        <v>-</v>
      </c>
      <c r="K800" s="12"/>
      <c r="L800" s="159"/>
      <c r="M800" s="159"/>
      <c r="N800" s="159"/>
      <c r="O800" s="185" t="str">
        <f t="shared" si="40"/>
        <v>-</v>
      </c>
      <c r="P800" s="215" t="str">
        <f t="shared" si="41"/>
        <v>-</v>
      </c>
      <c r="Q800" s="215" cm="1">
        <f t="array" ref="Q800">IF(P800="-",0,P800/(1+'General inputs'!$H$32)^IFERROR(INDEX('MP Calculations'!$C$40:$C$130,MATCH(F800,'MP Calculations'!$D$40:$D$130,0),0),-1))</f>
        <v>0</v>
      </c>
    </row>
    <row r="801" spans="3:17">
      <c r="C801" s="159"/>
      <c r="D801" s="165"/>
      <c r="E801" s="161"/>
      <c r="F801" s="172" t="str">
        <f t="shared" si="39"/>
        <v>-</v>
      </c>
      <c r="G801" s="68"/>
      <c r="H801" s="167"/>
      <c r="I801" s="173"/>
      <c r="J801" s="168" t="str">
        <f>IFERROR(MIN('MP Calculations'!$E$30/I801,1),"-")</f>
        <v>-</v>
      </c>
      <c r="K801" s="12"/>
      <c r="L801" s="159"/>
      <c r="M801" s="159"/>
      <c r="N801" s="159"/>
      <c r="O801" s="185" t="str">
        <f t="shared" si="40"/>
        <v>-</v>
      </c>
      <c r="P801" s="215" t="str">
        <f t="shared" si="41"/>
        <v>-</v>
      </c>
      <c r="Q801" s="215" cm="1">
        <f t="array" ref="Q801">IF(P801="-",0,P801/(1+'General inputs'!$H$32)^IFERROR(INDEX('MP Calculations'!$C$40:$C$130,MATCH(F801,'MP Calculations'!$D$40:$D$130,0),0),-1))</f>
        <v>0</v>
      </c>
    </row>
    <row r="802" spans="3:17">
      <c r="C802" s="159"/>
      <c r="D802" s="165"/>
      <c r="E802" s="161"/>
      <c r="F802" s="172" t="str">
        <f t="shared" si="39"/>
        <v>-</v>
      </c>
      <c r="G802" s="68"/>
      <c r="H802" s="167"/>
      <c r="I802" s="173"/>
      <c r="J802" s="168" t="str">
        <f>IFERROR(MIN('MP Calculations'!$E$30/I802,1),"-")</f>
        <v>-</v>
      </c>
      <c r="K802" s="12"/>
      <c r="L802" s="159"/>
      <c r="M802" s="159"/>
      <c r="N802" s="159"/>
      <c r="O802" s="185" t="str">
        <f t="shared" si="40"/>
        <v>-</v>
      </c>
      <c r="P802" s="215" t="str">
        <f t="shared" si="41"/>
        <v>-</v>
      </c>
      <c r="Q802" s="215" cm="1">
        <f t="array" ref="Q802">IF(P802="-",0,P802/(1+'General inputs'!$H$32)^IFERROR(INDEX('MP Calculations'!$C$40:$C$130,MATCH(F802,'MP Calculations'!$D$40:$D$130,0),0),-1))</f>
        <v>0</v>
      </c>
    </row>
    <row r="803" spans="3:17">
      <c r="C803" s="159"/>
      <c r="D803" s="165"/>
      <c r="E803" s="161"/>
      <c r="F803" s="172" t="str">
        <f t="shared" si="39"/>
        <v>-</v>
      </c>
      <c r="G803" s="68"/>
      <c r="H803" s="167"/>
      <c r="I803" s="173"/>
      <c r="J803" s="168" t="str">
        <f>IFERROR(MIN('MP Calculations'!$E$30/I803,1),"-")</f>
        <v>-</v>
      </c>
      <c r="K803" s="12"/>
      <c r="L803" s="159"/>
      <c r="M803" s="159"/>
      <c r="N803" s="159"/>
      <c r="O803" s="185" t="str">
        <f t="shared" si="40"/>
        <v>-</v>
      </c>
      <c r="P803" s="215" t="str">
        <f t="shared" si="41"/>
        <v>-</v>
      </c>
      <c r="Q803" s="215" cm="1">
        <f t="array" ref="Q803">IF(P803="-",0,P803/(1+'General inputs'!$H$32)^IFERROR(INDEX('MP Calculations'!$C$40:$C$130,MATCH(F803,'MP Calculations'!$D$40:$D$130,0),0),-1))</f>
        <v>0</v>
      </c>
    </row>
    <row r="804" spans="3:17">
      <c r="C804" s="159"/>
      <c r="D804" s="165"/>
      <c r="E804" s="161"/>
      <c r="F804" s="172" t="str">
        <f t="shared" si="39"/>
        <v>-</v>
      </c>
      <c r="G804" s="68"/>
      <c r="H804" s="167"/>
      <c r="I804" s="173"/>
      <c r="J804" s="168" t="str">
        <f>IFERROR(MIN('MP Calculations'!$E$30/I804,1),"-")</f>
        <v>-</v>
      </c>
      <c r="K804" s="12"/>
      <c r="L804" s="159"/>
      <c r="M804" s="159"/>
      <c r="N804" s="159"/>
      <c r="O804" s="185" t="str">
        <f t="shared" si="40"/>
        <v>-</v>
      </c>
      <c r="P804" s="215" t="str">
        <f t="shared" si="41"/>
        <v>-</v>
      </c>
      <c r="Q804" s="215" cm="1">
        <f t="array" ref="Q804">IF(P804="-",0,P804/(1+'General inputs'!$H$32)^IFERROR(INDEX('MP Calculations'!$C$40:$C$130,MATCH(F804,'MP Calculations'!$D$40:$D$130,0),0),-1))</f>
        <v>0</v>
      </c>
    </row>
    <row r="805" spans="3:17">
      <c r="C805" s="159"/>
      <c r="D805" s="165"/>
      <c r="E805" s="161"/>
      <c r="F805" s="172" t="str">
        <f t="shared" si="39"/>
        <v>-</v>
      </c>
      <c r="G805" s="68"/>
      <c r="H805" s="167"/>
      <c r="I805" s="173"/>
      <c r="J805" s="168" t="str">
        <f>IFERROR(MIN('MP Calculations'!$E$30/I805,1),"-")</f>
        <v>-</v>
      </c>
      <c r="K805" s="12"/>
      <c r="L805" s="159"/>
      <c r="M805" s="159"/>
      <c r="N805" s="159"/>
      <c r="O805" s="185" t="str">
        <f t="shared" si="40"/>
        <v>-</v>
      </c>
      <c r="P805" s="215" t="str">
        <f t="shared" si="41"/>
        <v>-</v>
      </c>
      <c r="Q805" s="215" cm="1">
        <f t="array" ref="Q805">IF(P805="-",0,P805/(1+'General inputs'!$H$32)^IFERROR(INDEX('MP Calculations'!$C$40:$C$130,MATCH(F805,'MP Calculations'!$D$40:$D$130,0),0),-1))</f>
        <v>0</v>
      </c>
    </row>
    <row r="806" spans="3:17">
      <c r="C806" s="159"/>
      <c r="D806" s="165"/>
      <c r="E806" s="161"/>
      <c r="F806" s="172" t="str">
        <f t="shared" si="39"/>
        <v>-</v>
      </c>
      <c r="G806" s="68"/>
      <c r="H806" s="167"/>
      <c r="I806" s="173"/>
      <c r="J806" s="168" t="str">
        <f>IFERROR(MIN('MP Calculations'!$E$30/I806,1),"-")</f>
        <v>-</v>
      </c>
      <c r="K806" s="12"/>
      <c r="L806" s="159"/>
      <c r="M806" s="159"/>
      <c r="N806" s="159"/>
      <c r="O806" s="185" t="str">
        <f t="shared" si="40"/>
        <v>-</v>
      </c>
      <c r="P806" s="215" t="str">
        <f t="shared" si="41"/>
        <v>-</v>
      </c>
      <c r="Q806" s="215" cm="1">
        <f t="array" ref="Q806">IF(P806="-",0,P806/(1+'General inputs'!$H$32)^IFERROR(INDEX('MP Calculations'!$C$40:$C$130,MATCH(F806,'MP Calculations'!$D$40:$D$130,0),0),-1))</f>
        <v>0</v>
      </c>
    </row>
    <row r="807" spans="3:17">
      <c r="C807" s="159"/>
      <c r="D807" s="165"/>
      <c r="E807" s="161"/>
      <c r="F807" s="172" t="str">
        <f t="shared" si="39"/>
        <v>-</v>
      </c>
      <c r="G807" s="68"/>
      <c r="H807" s="167"/>
      <c r="I807" s="173"/>
      <c r="J807" s="168" t="str">
        <f>IFERROR(MIN('MP Calculations'!$E$30/I807,1),"-")</f>
        <v>-</v>
      </c>
      <c r="K807" s="12"/>
      <c r="L807" s="159"/>
      <c r="M807" s="159"/>
      <c r="N807" s="159"/>
      <c r="O807" s="185" t="str">
        <f t="shared" si="40"/>
        <v>-</v>
      </c>
      <c r="P807" s="215" t="str">
        <f t="shared" si="41"/>
        <v>-</v>
      </c>
      <c r="Q807" s="215" cm="1">
        <f t="array" ref="Q807">IF(P807="-",0,P807/(1+'General inputs'!$H$32)^IFERROR(INDEX('MP Calculations'!$C$40:$C$130,MATCH(F807,'MP Calculations'!$D$40:$D$130,0),0),-1))</f>
        <v>0</v>
      </c>
    </row>
    <row r="808" spans="3:17">
      <c r="C808" s="159"/>
      <c r="D808" s="165"/>
      <c r="E808" s="161"/>
      <c r="F808" s="172" t="str">
        <f t="shared" si="39"/>
        <v>-</v>
      </c>
      <c r="G808" s="68"/>
      <c r="H808" s="167"/>
      <c r="I808" s="173"/>
      <c r="J808" s="168" t="str">
        <f>IFERROR(MIN('MP Calculations'!$E$30/I808,1),"-")</f>
        <v>-</v>
      </c>
      <c r="K808" s="12"/>
      <c r="L808" s="159"/>
      <c r="M808" s="159"/>
      <c r="N808" s="159"/>
      <c r="O808" s="185" t="str">
        <f t="shared" si="40"/>
        <v>-</v>
      </c>
      <c r="P808" s="215" t="str">
        <f t="shared" si="41"/>
        <v>-</v>
      </c>
      <c r="Q808" s="215" cm="1">
        <f t="array" ref="Q808">IF(P808="-",0,P808/(1+'General inputs'!$H$32)^IFERROR(INDEX('MP Calculations'!$C$40:$C$130,MATCH(F808,'MP Calculations'!$D$40:$D$130,0),0),-1))</f>
        <v>0</v>
      </c>
    </row>
    <row r="809" spans="3:17">
      <c r="C809" s="159"/>
      <c r="D809" s="165"/>
      <c r="E809" s="161"/>
      <c r="F809" s="172" t="str">
        <f t="shared" si="39"/>
        <v>-</v>
      </c>
      <c r="G809" s="68"/>
      <c r="H809" s="167"/>
      <c r="I809" s="173"/>
      <c r="J809" s="168" t="str">
        <f>IFERROR(MIN('MP Calculations'!$E$30/I809,1),"-")</f>
        <v>-</v>
      </c>
      <c r="K809" s="12"/>
      <c r="L809" s="159"/>
      <c r="M809" s="159"/>
      <c r="N809" s="159"/>
      <c r="O809" s="185" t="str">
        <f t="shared" si="40"/>
        <v>-</v>
      </c>
      <c r="P809" s="215" t="str">
        <f t="shared" si="41"/>
        <v>-</v>
      </c>
      <c r="Q809" s="215" cm="1">
        <f t="array" ref="Q809">IF(P809="-",0,P809/(1+'General inputs'!$H$32)^IFERROR(INDEX('MP Calculations'!$C$40:$C$130,MATCH(F809,'MP Calculations'!$D$40:$D$130,0),0),-1))</f>
        <v>0</v>
      </c>
    </row>
    <row r="810" spans="3:17">
      <c r="C810" s="159"/>
      <c r="D810" s="165"/>
      <c r="E810" s="161"/>
      <c r="F810" s="172" t="str">
        <f t="shared" si="39"/>
        <v>-</v>
      </c>
      <c r="G810" s="68"/>
      <c r="H810" s="167"/>
      <c r="I810" s="173"/>
      <c r="J810" s="168" t="str">
        <f>IFERROR(MIN('MP Calculations'!$E$30/I810,1),"-")</f>
        <v>-</v>
      </c>
      <c r="K810" s="12"/>
      <c r="L810" s="159"/>
      <c r="M810" s="159"/>
      <c r="N810" s="159"/>
      <c r="O810" s="185" t="str">
        <f t="shared" si="40"/>
        <v>-</v>
      </c>
      <c r="P810" s="215" t="str">
        <f t="shared" si="41"/>
        <v>-</v>
      </c>
      <c r="Q810" s="215" cm="1">
        <f t="array" ref="Q810">IF(P810="-",0,P810/(1+'General inputs'!$H$32)^IFERROR(INDEX('MP Calculations'!$C$40:$C$130,MATCH(F810,'MP Calculations'!$D$40:$D$130,0),0),-1))</f>
        <v>0</v>
      </c>
    </row>
    <row r="811" spans="3:17">
      <c r="C811" s="159"/>
      <c r="D811" s="165"/>
      <c r="E811" s="161"/>
      <c r="F811" s="172" t="str">
        <f t="shared" si="39"/>
        <v>-</v>
      </c>
      <c r="G811" s="68"/>
      <c r="H811" s="167"/>
      <c r="I811" s="173"/>
      <c r="J811" s="168" t="str">
        <f>IFERROR(MIN('MP Calculations'!$E$30/I811,1),"-")</f>
        <v>-</v>
      </c>
      <c r="K811" s="12"/>
      <c r="L811" s="159"/>
      <c r="M811" s="159"/>
      <c r="N811" s="159"/>
      <c r="O811" s="185" t="str">
        <f t="shared" si="40"/>
        <v>-</v>
      </c>
      <c r="P811" s="215" t="str">
        <f t="shared" si="41"/>
        <v>-</v>
      </c>
      <c r="Q811" s="215" cm="1">
        <f t="array" ref="Q811">IF(P811="-",0,P811/(1+'General inputs'!$H$32)^IFERROR(INDEX('MP Calculations'!$C$40:$C$130,MATCH(F811,'MP Calculations'!$D$40:$D$130,0),0),-1))</f>
        <v>0</v>
      </c>
    </row>
    <row r="812" spans="3:17">
      <c r="C812" s="159"/>
      <c r="D812" s="165"/>
      <c r="E812" s="161"/>
      <c r="F812" s="172" t="str">
        <f t="shared" si="39"/>
        <v>-</v>
      </c>
      <c r="G812" s="68"/>
      <c r="H812" s="167"/>
      <c r="I812" s="173"/>
      <c r="J812" s="168" t="str">
        <f>IFERROR(MIN('MP Calculations'!$E$30/I812,1),"-")</f>
        <v>-</v>
      </c>
      <c r="K812" s="12"/>
      <c r="L812" s="159"/>
      <c r="M812" s="159"/>
      <c r="N812" s="159"/>
      <c r="O812" s="185" t="str">
        <f t="shared" si="40"/>
        <v>-</v>
      </c>
      <c r="P812" s="215" t="str">
        <f t="shared" si="41"/>
        <v>-</v>
      </c>
      <c r="Q812" s="215" cm="1">
        <f t="array" ref="Q812">IF(P812="-",0,P812/(1+'General inputs'!$H$32)^IFERROR(INDEX('MP Calculations'!$C$40:$C$130,MATCH(F812,'MP Calculations'!$D$40:$D$130,0),0),-1))</f>
        <v>0</v>
      </c>
    </row>
    <row r="813" spans="3:17">
      <c r="C813" s="159"/>
      <c r="D813" s="165"/>
      <c r="E813" s="161"/>
      <c r="F813" s="172" t="str">
        <f t="shared" si="39"/>
        <v>-</v>
      </c>
      <c r="G813" s="68"/>
      <c r="H813" s="167"/>
      <c r="I813" s="173"/>
      <c r="J813" s="168" t="str">
        <f>IFERROR(MIN('MP Calculations'!$E$30/I813,1),"-")</f>
        <v>-</v>
      </c>
      <c r="K813" s="12"/>
      <c r="L813" s="159"/>
      <c r="M813" s="159"/>
      <c r="N813" s="159"/>
      <c r="O813" s="185" t="str">
        <f t="shared" si="40"/>
        <v>-</v>
      </c>
      <c r="P813" s="215" t="str">
        <f t="shared" si="41"/>
        <v>-</v>
      </c>
      <c r="Q813" s="215" cm="1">
        <f t="array" ref="Q813">IF(P813="-",0,P813/(1+'General inputs'!$H$32)^IFERROR(INDEX('MP Calculations'!$C$40:$C$130,MATCH(F813,'MP Calculations'!$D$40:$D$130,0),0),-1))</f>
        <v>0</v>
      </c>
    </row>
    <row r="814" spans="3:17">
      <c r="C814" s="159"/>
      <c r="D814" s="165"/>
      <c r="E814" s="161"/>
      <c r="F814" s="172" t="str">
        <f t="shared" si="39"/>
        <v>-</v>
      </c>
      <c r="G814" s="68"/>
      <c r="H814" s="167"/>
      <c r="I814" s="173"/>
      <c r="J814" s="168" t="str">
        <f>IFERROR(MIN('MP Calculations'!$E$30/I814,1),"-")</f>
        <v>-</v>
      </c>
      <c r="K814" s="12"/>
      <c r="L814" s="159"/>
      <c r="M814" s="159"/>
      <c r="N814" s="159"/>
      <c r="O814" s="185" t="str">
        <f t="shared" si="40"/>
        <v>-</v>
      </c>
      <c r="P814" s="215" t="str">
        <f t="shared" si="41"/>
        <v>-</v>
      </c>
      <c r="Q814" s="215" cm="1">
        <f t="array" ref="Q814">IF(P814="-",0,P814/(1+'General inputs'!$H$32)^IFERROR(INDEX('MP Calculations'!$C$40:$C$130,MATCH(F814,'MP Calculations'!$D$40:$D$130,0),0),-1))</f>
        <v>0</v>
      </c>
    </row>
    <row r="815" spans="3:17">
      <c r="C815" s="159"/>
      <c r="D815" s="165"/>
      <c r="E815" s="161"/>
      <c r="F815" s="172" t="str">
        <f t="shared" si="39"/>
        <v>-</v>
      </c>
      <c r="G815" s="68"/>
      <c r="H815" s="167"/>
      <c r="I815" s="173"/>
      <c r="J815" s="168" t="str">
        <f>IFERROR(MIN('MP Calculations'!$E$30/I815,1),"-")</f>
        <v>-</v>
      </c>
      <c r="K815" s="12"/>
      <c r="L815" s="159"/>
      <c r="M815" s="159"/>
      <c r="N815" s="159"/>
      <c r="O815" s="185" t="str">
        <f t="shared" si="40"/>
        <v>-</v>
      </c>
      <c r="P815" s="215" t="str">
        <f t="shared" si="41"/>
        <v>-</v>
      </c>
      <c r="Q815" s="215" cm="1">
        <f t="array" ref="Q815">IF(P815="-",0,P815/(1+'General inputs'!$H$32)^IFERROR(INDEX('MP Calculations'!$C$40:$C$130,MATCH(F815,'MP Calculations'!$D$40:$D$130,0),0),-1))</f>
        <v>0</v>
      </c>
    </row>
    <row r="816" spans="3:17">
      <c r="C816" s="159"/>
      <c r="D816" s="165"/>
      <c r="E816" s="161"/>
      <c r="F816" s="172" t="str">
        <f t="shared" si="39"/>
        <v>-</v>
      </c>
      <c r="G816" s="68"/>
      <c r="H816" s="167"/>
      <c r="I816" s="173"/>
      <c r="J816" s="168" t="str">
        <f>IFERROR(MIN('MP Calculations'!$E$30/I816,1),"-")</f>
        <v>-</v>
      </c>
      <c r="K816" s="12"/>
      <c r="L816" s="159"/>
      <c r="M816" s="159"/>
      <c r="N816" s="159"/>
      <c r="O816" s="185" t="str">
        <f t="shared" si="40"/>
        <v>-</v>
      </c>
      <c r="P816" s="215" t="str">
        <f t="shared" si="41"/>
        <v>-</v>
      </c>
      <c r="Q816" s="215" cm="1">
        <f t="array" ref="Q816">IF(P816="-",0,P816/(1+'General inputs'!$H$32)^IFERROR(INDEX('MP Calculations'!$C$40:$C$130,MATCH(F816,'MP Calculations'!$D$40:$D$130,0),0),-1))</f>
        <v>0</v>
      </c>
    </row>
    <row r="817" spans="3:17">
      <c r="C817" s="159"/>
      <c r="D817" s="165"/>
      <c r="E817" s="161"/>
      <c r="F817" s="172" t="str">
        <f t="shared" si="39"/>
        <v>-</v>
      </c>
      <c r="G817" s="68"/>
      <c r="H817" s="167"/>
      <c r="I817" s="173"/>
      <c r="J817" s="168" t="str">
        <f>IFERROR(MIN('MP Calculations'!$E$30/I817,1),"-")</f>
        <v>-</v>
      </c>
      <c r="K817" s="12"/>
      <c r="L817" s="159"/>
      <c r="M817" s="159"/>
      <c r="N817" s="159"/>
      <c r="O817" s="185" t="str">
        <f t="shared" si="40"/>
        <v>-</v>
      </c>
      <c r="P817" s="215" t="str">
        <f t="shared" si="41"/>
        <v>-</v>
      </c>
      <c r="Q817" s="215" cm="1">
        <f t="array" ref="Q817">IF(P817="-",0,P817/(1+'General inputs'!$H$32)^IFERROR(INDEX('MP Calculations'!$C$40:$C$130,MATCH(F817,'MP Calculations'!$D$40:$D$130,0),0),-1))</f>
        <v>0</v>
      </c>
    </row>
    <row r="818" spans="3:17">
      <c r="C818" s="159"/>
      <c r="D818" s="165"/>
      <c r="E818" s="161"/>
      <c r="F818" s="172" t="str">
        <f t="shared" si="39"/>
        <v>-</v>
      </c>
      <c r="G818" s="68"/>
      <c r="H818" s="167"/>
      <c r="I818" s="173"/>
      <c r="J818" s="168" t="str">
        <f>IFERROR(MIN('MP Calculations'!$E$30/I818,1),"-")</f>
        <v>-</v>
      </c>
      <c r="K818" s="12"/>
      <c r="L818" s="159"/>
      <c r="M818" s="159"/>
      <c r="N818" s="159"/>
      <c r="O818" s="185" t="str">
        <f t="shared" si="40"/>
        <v>-</v>
      </c>
      <c r="P818" s="215" t="str">
        <f t="shared" si="41"/>
        <v>-</v>
      </c>
      <c r="Q818" s="215" cm="1">
        <f t="array" ref="Q818">IF(P818="-",0,P818/(1+'General inputs'!$H$32)^IFERROR(INDEX('MP Calculations'!$C$40:$C$130,MATCH(F818,'MP Calculations'!$D$40:$D$130,0),0),-1))</f>
        <v>0</v>
      </c>
    </row>
    <row r="819" spans="3:17">
      <c r="C819" s="159"/>
      <c r="D819" s="165"/>
      <c r="E819" s="161"/>
      <c r="F819" s="172" t="str">
        <f t="shared" si="39"/>
        <v>-</v>
      </c>
      <c r="G819" s="68"/>
      <c r="H819" s="167"/>
      <c r="I819" s="173"/>
      <c r="J819" s="168" t="str">
        <f>IFERROR(MIN('MP Calculations'!$E$30/I819,1),"-")</f>
        <v>-</v>
      </c>
      <c r="K819" s="12"/>
      <c r="L819" s="159"/>
      <c r="M819" s="159"/>
      <c r="N819" s="159"/>
      <c r="O819" s="185" t="str">
        <f t="shared" si="40"/>
        <v>-</v>
      </c>
      <c r="P819" s="215" t="str">
        <f t="shared" si="41"/>
        <v>-</v>
      </c>
      <c r="Q819" s="215" cm="1">
        <f t="array" ref="Q819">IF(P819="-",0,P819/(1+'General inputs'!$H$32)^IFERROR(INDEX('MP Calculations'!$C$40:$C$130,MATCH(F819,'MP Calculations'!$D$40:$D$130,0),0),-1))</f>
        <v>0</v>
      </c>
    </row>
    <row r="820" spans="3:17">
      <c r="C820" s="159"/>
      <c r="D820" s="165"/>
      <c r="E820" s="161"/>
      <c r="F820" s="172" t="str">
        <f t="shared" si="39"/>
        <v>-</v>
      </c>
      <c r="G820" s="68"/>
      <c r="H820" s="167"/>
      <c r="I820" s="173"/>
      <c r="J820" s="168" t="str">
        <f>IFERROR(MIN('MP Calculations'!$E$30/I820,1),"-")</f>
        <v>-</v>
      </c>
      <c r="K820" s="12"/>
      <c r="L820" s="159"/>
      <c r="M820" s="159"/>
      <c r="N820" s="159"/>
      <c r="O820" s="185" t="str">
        <f t="shared" si="40"/>
        <v>-</v>
      </c>
      <c r="P820" s="215" t="str">
        <f t="shared" si="41"/>
        <v>-</v>
      </c>
      <c r="Q820" s="215" cm="1">
        <f t="array" ref="Q820">IF(P820="-",0,P820/(1+'General inputs'!$H$32)^IFERROR(INDEX('MP Calculations'!$C$40:$C$130,MATCH(F820,'MP Calculations'!$D$40:$D$130,0),0),-1))</f>
        <v>0</v>
      </c>
    </row>
    <row r="821" spans="3:17">
      <c r="C821" s="159"/>
      <c r="D821" s="165"/>
      <c r="E821" s="161"/>
      <c r="F821" s="172" t="str">
        <f t="shared" si="39"/>
        <v>-</v>
      </c>
      <c r="G821" s="68"/>
      <c r="H821" s="167"/>
      <c r="I821" s="173"/>
      <c r="J821" s="168" t="str">
        <f>IFERROR(MIN('MP Calculations'!$E$30/I821,1),"-")</f>
        <v>-</v>
      </c>
      <c r="K821" s="12"/>
      <c r="L821" s="159"/>
      <c r="M821" s="159"/>
      <c r="N821" s="159"/>
      <c r="O821" s="185" t="str">
        <f t="shared" si="40"/>
        <v>-</v>
      </c>
      <c r="P821" s="215" t="str">
        <f t="shared" si="41"/>
        <v>-</v>
      </c>
      <c r="Q821" s="215" cm="1">
        <f t="array" ref="Q821">IF(P821="-",0,P821/(1+'General inputs'!$H$32)^IFERROR(INDEX('MP Calculations'!$C$40:$C$130,MATCH(F821,'MP Calculations'!$D$40:$D$130,0),0),-1))</f>
        <v>0</v>
      </c>
    </row>
    <row r="822" spans="3:17">
      <c r="C822" s="159"/>
      <c r="D822" s="165"/>
      <c r="E822" s="161"/>
      <c r="F822" s="172" t="str">
        <f t="shared" si="39"/>
        <v>-</v>
      </c>
      <c r="G822" s="68"/>
      <c r="H822" s="167"/>
      <c r="I822" s="173"/>
      <c r="J822" s="168" t="str">
        <f>IFERROR(MIN('MP Calculations'!$E$30/I822,1),"-")</f>
        <v>-</v>
      </c>
      <c r="K822" s="12"/>
      <c r="L822" s="159"/>
      <c r="M822" s="159"/>
      <c r="N822" s="159"/>
      <c r="O822" s="185" t="str">
        <f t="shared" si="40"/>
        <v>-</v>
      </c>
      <c r="P822" s="215" t="str">
        <f t="shared" si="41"/>
        <v>-</v>
      </c>
      <c r="Q822" s="215" cm="1">
        <f t="array" ref="Q822">IF(P822="-",0,P822/(1+'General inputs'!$H$32)^IFERROR(INDEX('MP Calculations'!$C$40:$C$130,MATCH(F822,'MP Calculations'!$D$40:$D$130,0),0),-1))</f>
        <v>0</v>
      </c>
    </row>
    <row r="823" spans="3:17">
      <c r="C823" s="159"/>
      <c r="D823" s="165"/>
      <c r="E823" s="161"/>
      <c r="F823" s="172" t="str">
        <f t="shared" si="39"/>
        <v>-</v>
      </c>
      <c r="G823" s="68"/>
      <c r="H823" s="167"/>
      <c r="I823" s="173"/>
      <c r="J823" s="168" t="str">
        <f>IFERROR(MIN('MP Calculations'!$E$30/I823,1),"-")</f>
        <v>-</v>
      </c>
      <c r="K823" s="12"/>
      <c r="L823" s="159"/>
      <c r="M823" s="159"/>
      <c r="N823" s="159"/>
      <c r="O823" s="185" t="str">
        <f t="shared" si="40"/>
        <v>-</v>
      </c>
      <c r="P823" s="215" t="str">
        <f t="shared" si="41"/>
        <v>-</v>
      </c>
      <c r="Q823" s="215" cm="1">
        <f t="array" ref="Q823">IF(P823="-",0,P823/(1+'General inputs'!$H$32)^IFERROR(INDEX('MP Calculations'!$C$40:$C$130,MATCH(F823,'MP Calculations'!$D$40:$D$130,0),0),-1))</f>
        <v>0</v>
      </c>
    </row>
    <row r="824" spans="3:17">
      <c r="C824" s="159"/>
      <c r="D824" s="165"/>
      <c r="E824" s="161"/>
      <c r="F824" s="172" t="str">
        <f t="shared" si="39"/>
        <v>-</v>
      </c>
      <c r="G824" s="68"/>
      <c r="H824" s="167"/>
      <c r="I824" s="173"/>
      <c r="J824" s="168" t="str">
        <f>IFERROR(MIN('MP Calculations'!$E$30/I824,1),"-")</f>
        <v>-</v>
      </c>
      <c r="K824" s="12"/>
      <c r="L824" s="159"/>
      <c r="M824" s="159"/>
      <c r="N824" s="159"/>
      <c r="O824" s="185" t="str">
        <f t="shared" si="40"/>
        <v>-</v>
      </c>
      <c r="P824" s="215" t="str">
        <f t="shared" si="41"/>
        <v>-</v>
      </c>
      <c r="Q824" s="215" cm="1">
        <f t="array" ref="Q824">IF(P824="-",0,P824/(1+'General inputs'!$H$32)^IFERROR(INDEX('MP Calculations'!$C$40:$C$130,MATCH(F824,'MP Calculations'!$D$40:$D$130,0),0),-1))</f>
        <v>0</v>
      </c>
    </row>
    <row r="825" spans="3:17">
      <c r="C825" s="159"/>
      <c r="D825" s="165"/>
      <c r="E825" s="161"/>
      <c r="F825" s="172" t="str">
        <f t="shared" si="39"/>
        <v>-</v>
      </c>
      <c r="G825" s="68"/>
      <c r="H825" s="167"/>
      <c r="I825" s="173"/>
      <c r="J825" s="168" t="str">
        <f>IFERROR(MIN('MP Calculations'!$E$30/I825,1),"-")</f>
        <v>-</v>
      </c>
      <c r="K825" s="12"/>
      <c r="L825" s="159"/>
      <c r="M825" s="159"/>
      <c r="N825" s="159"/>
      <c r="O825" s="185" t="str">
        <f t="shared" si="40"/>
        <v>-</v>
      </c>
      <c r="P825" s="215" t="str">
        <f t="shared" si="41"/>
        <v>-</v>
      </c>
      <c r="Q825" s="215" cm="1">
        <f t="array" ref="Q825">IF(P825="-",0,P825/(1+'General inputs'!$H$32)^IFERROR(INDEX('MP Calculations'!$C$40:$C$130,MATCH(F825,'MP Calculations'!$D$40:$D$130,0),0),-1))</f>
        <v>0</v>
      </c>
    </row>
    <row r="826" spans="3:17">
      <c r="C826" s="159"/>
      <c r="D826" s="165"/>
      <c r="E826" s="161"/>
      <c r="F826" s="172" t="str">
        <f t="shared" si="39"/>
        <v>-</v>
      </c>
      <c r="G826" s="68"/>
      <c r="H826" s="167"/>
      <c r="I826" s="173"/>
      <c r="J826" s="168" t="str">
        <f>IFERROR(MIN('MP Calculations'!$E$30/I826,1),"-")</f>
        <v>-</v>
      </c>
      <c r="K826" s="12"/>
      <c r="L826" s="159"/>
      <c r="M826" s="159"/>
      <c r="N826" s="159"/>
      <c r="O826" s="185" t="str">
        <f t="shared" si="40"/>
        <v>-</v>
      </c>
      <c r="P826" s="215" t="str">
        <f t="shared" si="41"/>
        <v>-</v>
      </c>
      <c r="Q826" s="215" cm="1">
        <f t="array" ref="Q826">IF(P826="-",0,P826/(1+'General inputs'!$H$32)^IFERROR(INDEX('MP Calculations'!$C$40:$C$130,MATCH(F826,'MP Calculations'!$D$40:$D$130,0),0),-1))</f>
        <v>0</v>
      </c>
    </row>
    <row r="827" spans="3:17">
      <c r="C827" s="159"/>
      <c r="D827" s="165"/>
      <c r="E827" s="161"/>
      <c r="F827" s="172" t="str">
        <f t="shared" si="39"/>
        <v>-</v>
      </c>
      <c r="G827" s="68"/>
      <c r="H827" s="167"/>
      <c r="I827" s="173"/>
      <c r="J827" s="168" t="str">
        <f>IFERROR(MIN('MP Calculations'!$E$30/I827,1),"-")</f>
        <v>-</v>
      </c>
      <c r="K827" s="12"/>
      <c r="L827" s="159"/>
      <c r="M827" s="159"/>
      <c r="N827" s="159"/>
      <c r="O827" s="185" t="str">
        <f t="shared" si="40"/>
        <v>-</v>
      </c>
      <c r="P827" s="215" t="str">
        <f t="shared" si="41"/>
        <v>-</v>
      </c>
      <c r="Q827" s="215" cm="1">
        <f t="array" ref="Q827">IF(P827="-",0,P827/(1+'General inputs'!$H$32)^IFERROR(INDEX('MP Calculations'!$C$40:$C$130,MATCH(F827,'MP Calculations'!$D$40:$D$130,0),0),-1))</f>
        <v>0</v>
      </c>
    </row>
    <row r="828" spans="3:17">
      <c r="C828" s="159"/>
      <c r="D828" s="165"/>
      <c r="E828" s="161"/>
      <c r="F828" s="172" t="str">
        <f t="shared" si="39"/>
        <v>-</v>
      </c>
      <c r="G828" s="68"/>
      <c r="H828" s="167"/>
      <c r="I828" s="173"/>
      <c r="J828" s="168" t="str">
        <f>IFERROR(MIN('MP Calculations'!$E$30/I828,1),"-")</f>
        <v>-</v>
      </c>
      <c r="K828" s="12"/>
      <c r="L828" s="159"/>
      <c r="M828" s="159"/>
      <c r="N828" s="159"/>
      <c r="O828" s="185" t="str">
        <f t="shared" si="40"/>
        <v>-</v>
      </c>
      <c r="P828" s="215" t="str">
        <f t="shared" si="41"/>
        <v>-</v>
      </c>
      <c r="Q828" s="215" cm="1">
        <f t="array" ref="Q828">IF(P828="-",0,P828/(1+'General inputs'!$H$32)^IFERROR(INDEX('MP Calculations'!$C$40:$C$130,MATCH(F828,'MP Calculations'!$D$40:$D$130,0),0),-1))</f>
        <v>0</v>
      </c>
    </row>
    <row r="829" spans="3:17">
      <c r="C829" s="159"/>
      <c r="D829" s="165"/>
      <c r="E829" s="161"/>
      <c r="F829" s="172" t="str">
        <f t="shared" si="39"/>
        <v>-</v>
      </c>
      <c r="G829" s="68"/>
      <c r="H829" s="167"/>
      <c r="I829" s="173"/>
      <c r="J829" s="168" t="str">
        <f>IFERROR(MIN('MP Calculations'!$E$30/I829,1),"-")</f>
        <v>-</v>
      </c>
      <c r="K829" s="12"/>
      <c r="L829" s="159"/>
      <c r="M829" s="159"/>
      <c r="N829" s="159"/>
      <c r="O829" s="185" t="str">
        <f t="shared" si="40"/>
        <v>-</v>
      </c>
      <c r="P829" s="215" t="str">
        <f t="shared" si="41"/>
        <v>-</v>
      </c>
      <c r="Q829" s="215" cm="1">
        <f t="array" ref="Q829">IF(P829="-",0,P829/(1+'General inputs'!$H$32)^IFERROR(INDEX('MP Calculations'!$C$40:$C$130,MATCH(F829,'MP Calculations'!$D$40:$D$130,0),0),-1))</f>
        <v>0</v>
      </c>
    </row>
    <row r="830" spans="3:17">
      <c r="C830" s="159"/>
      <c r="D830" s="165"/>
      <c r="E830" s="161"/>
      <c r="F830" s="172" t="str">
        <f t="shared" si="39"/>
        <v>-</v>
      </c>
      <c r="G830" s="68"/>
      <c r="H830" s="167"/>
      <c r="I830" s="173"/>
      <c r="J830" s="168" t="str">
        <f>IFERROR(MIN('MP Calculations'!$E$30/I830,1),"-")</f>
        <v>-</v>
      </c>
      <c r="K830" s="12"/>
      <c r="L830" s="159"/>
      <c r="M830" s="159"/>
      <c r="N830" s="159"/>
      <c r="O830" s="185" t="str">
        <f t="shared" si="40"/>
        <v>-</v>
      </c>
      <c r="P830" s="215" t="str">
        <f t="shared" si="41"/>
        <v>-</v>
      </c>
      <c r="Q830" s="215" cm="1">
        <f t="array" ref="Q830">IF(P830="-",0,P830/(1+'General inputs'!$H$32)^IFERROR(INDEX('MP Calculations'!$C$40:$C$130,MATCH(F830,'MP Calculations'!$D$40:$D$130,0),0),-1))</f>
        <v>0</v>
      </c>
    </row>
    <row r="831" spans="3:17">
      <c r="C831" s="159"/>
      <c r="D831" s="165"/>
      <c r="E831" s="161"/>
      <c r="F831" s="172" t="str">
        <f t="shared" si="39"/>
        <v>-</v>
      </c>
      <c r="G831" s="68"/>
      <c r="H831" s="167"/>
      <c r="I831" s="173"/>
      <c r="J831" s="168" t="str">
        <f>IFERROR(MIN('MP Calculations'!$E$30/I831,1),"-")</f>
        <v>-</v>
      </c>
      <c r="K831" s="12"/>
      <c r="L831" s="159"/>
      <c r="M831" s="159"/>
      <c r="N831" s="159"/>
      <c r="O831" s="185" t="str">
        <f t="shared" si="40"/>
        <v>-</v>
      </c>
      <c r="P831" s="215" t="str">
        <f t="shared" si="41"/>
        <v>-</v>
      </c>
      <c r="Q831" s="215" cm="1">
        <f t="array" ref="Q831">IF(P831="-",0,P831/(1+'General inputs'!$H$32)^IFERROR(INDEX('MP Calculations'!$C$40:$C$130,MATCH(F831,'MP Calculations'!$D$40:$D$130,0),0),-1))</f>
        <v>0</v>
      </c>
    </row>
    <row r="832" spans="3:17">
      <c r="C832" s="159"/>
      <c r="D832" s="165"/>
      <c r="E832" s="161"/>
      <c r="F832" s="172" t="str">
        <f t="shared" si="39"/>
        <v>-</v>
      </c>
      <c r="G832" s="68"/>
      <c r="H832" s="167"/>
      <c r="I832" s="173"/>
      <c r="J832" s="168" t="str">
        <f>IFERROR(MIN('MP Calculations'!$E$30/I832,1),"-")</f>
        <v>-</v>
      </c>
      <c r="K832" s="12"/>
      <c r="L832" s="159"/>
      <c r="M832" s="159"/>
      <c r="N832" s="159"/>
      <c r="O832" s="185" t="str">
        <f t="shared" si="40"/>
        <v>-</v>
      </c>
      <c r="P832" s="215" t="str">
        <f t="shared" si="41"/>
        <v>-</v>
      </c>
      <c r="Q832" s="215" cm="1">
        <f t="array" ref="Q832">IF(P832="-",0,P832/(1+'General inputs'!$H$32)^IFERROR(INDEX('MP Calculations'!$C$40:$C$130,MATCH(F832,'MP Calculations'!$D$40:$D$130,0),0),-1))</f>
        <v>0</v>
      </c>
    </row>
    <row r="833" spans="3:17">
      <c r="C833" s="159"/>
      <c r="D833" s="165"/>
      <c r="E833" s="161"/>
      <c r="F833" s="172" t="str">
        <f t="shared" si="39"/>
        <v>-</v>
      </c>
      <c r="G833" s="68"/>
      <c r="H833" s="167"/>
      <c r="I833" s="173"/>
      <c r="J833" s="168" t="str">
        <f>IFERROR(MIN('MP Calculations'!$E$30/I833,1),"-")</f>
        <v>-</v>
      </c>
      <c r="K833" s="12"/>
      <c r="L833" s="159"/>
      <c r="M833" s="159"/>
      <c r="N833" s="159"/>
      <c r="O833" s="185" t="str">
        <f t="shared" si="40"/>
        <v>-</v>
      </c>
      <c r="P833" s="215" t="str">
        <f t="shared" si="41"/>
        <v>-</v>
      </c>
      <c r="Q833" s="215" cm="1">
        <f t="array" ref="Q833">IF(P833="-",0,P833/(1+'General inputs'!$H$32)^IFERROR(INDEX('MP Calculations'!$C$40:$C$130,MATCH(F833,'MP Calculations'!$D$40:$D$130,0),0),-1))</f>
        <v>0</v>
      </c>
    </row>
    <row r="834" spans="3:17">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c r="D2530" s="94"/>
      <c r="O2530" s="6" t="s">
        <v>19</v>
      </c>
      <c r="P2530" s="235">
        <f>SUM(P22:P2529)</f>
        <v>6389010.7799804853</v>
      </c>
      <c r="Q2530" s="236">
        <f>SUM(Q22:Q2529)</f>
        <v>10944297.868973842</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D33" sqref="D33"/>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8" width="23.69921875" customWidth="1"/>
    <col min="9" max="10" width="15.69921875" customWidth="1"/>
    <col min="11" max="11" width="2.69921875" customWidth="1"/>
    <col min="12" max="13" width="15.69921875" customWidth="1"/>
    <col min="14" max="14" width="18" customWidth="1"/>
    <col min="15" max="16" width="15.69921875" customWidth="1"/>
    <col min="17" max="17" width="15" customWidth="1"/>
    <col min="18" max="18" width="9.09765625" customWidth="1"/>
  </cols>
  <sheetData>
    <row r="1" spans="3:6">
      <c r="E1" s="27"/>
    </row>
    <row r="2" spans="3:6">
      <c r="E2" s="27"/>
      <c r="F2" s="27"/>
    </row>
    <row r="3" spans="3:6" ht="20">
      <c r="C3" s="50" t="s">
        <v>203</v>
      </c>
    </row>
    <row r="6" spans="3:6"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c r="C7" s="104" t="str">
        <f ca="1">"Hyperlink to the '"&amp;MID(CELL("filename",'Asset exclusions'!A1),FIND("]",CELL("filename",'Asset exclusions'!A1))+1,255)&amp;"' worksheet:"</f>
        <v>Hyperlink to the 'Asset exclusions' worksheet:</v>
      </c>
      <c r="E7" s="134" t="s">
        <v>187</v>
      </c>
    </row>
    <row r="8" spans="3:6">
      <c r="C8" s="104"/>
      <c r="E8" s="134"/>
    </row>
    <row r="9" spans="3:6">
      <c r="C9" s="104" t="s">
        <v>242</v>
      </c>
      <c r="E9" s="134"/>
    </row>
    <row r="10" spans="3:6">
      <c r="C10" s="104" t="s">
        <v>245</v>
      </c>
      <c r="E10" s="134"/>
    </row>
    <row r="11" spans="3:6">
      <c r="C11" s="104" t="s">
        <v>244</v>
      </c>
      <c r="E11" s="134"/>
    </row>
    <row r="12" spans="3:6">
      <c r="C12" s="104" t="s">
        <v>243</v>
      </c>
      <c r="E12" s="134"/>
    </row>
    <row r="14" spans="3:6">
      <c r="C14" s="6" t="s">
        <v>54</v>
      </c>
    </row>
    <row r="15" spans="3:6">
      <c r="C15" s="57" t="s">
        <v>58</v>
      </c>
      <c r="E15" s="232">
        <f>'General inputs'!$H$18+1-365</f>
        <v>44378</v>
      </c>
      <c r="F15" s="57" t="s">
        <v>404</v>
      </c>
    </row>
    <row r="16" spans="3:6">
      <c r="C16" s="57"/>
      <c r="F16" s="241" t="s">
        <v>405</v>
      </c>
    </row>
    <row r="17" spans="3:18">
      <c r="F17" s="241" t="s">
        <v>406</v>
      </c>
    </row>
    <row r="18" spans="3:18" ht="15.5">
      <c r="C18" s="2" t="s">
        <v>209</v>
      </c>
      <c r="I18" s="188"/>
    </row>
    <row r="20" spans="3:18">
      <c r="C20" s="6" t="s">
        <v>16</v>
      </c>
      <c r="H20" s="6" t="s">
        <v>17</v>
      </c>
      <c r="L20" s="6" t="s">
        <v>18</v>
      </c>
      <c r="M20" s="6"/>
    </row>
    <row r="21" spans="3:18" ht="46">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t="s">
        <v>402</v>
      </c>
      <c r="E22" s="161">
        <v>46568</v>
      </c>
      <c r="F22" s="164" t="str">
        <f>IF(E22="","-",IF(E22&lt;$E$15,"ERROR - date outside of range",IF(MONTH(E22)&gt;=7,YEAR(E22)&amp;"-"&amp;RIGHT(YEAR(E22),2)+1,YEAR(E22)-1&amp;"-"&amp;RIGHT(YEAR(E22),2))))</f>
        <v>2026-27</v>
      </c>
      <c r="G22" s="68"/>
      <c r="H22" s="167" t="s">
        <v>293</v>
      </c>
      <c r="I22" s="192"/>
      <c r="J22" s="189">
        <v>1</v>
      </c>
      <c r="K22" s="12"/>
      <c r="L22" s="158">
        <v>1</v>
      </c>
      <c r="M22" s="158" t="s">
        <v>295</v>
      </c>
      <c r="N22" s="173">
        <v>1500000</v>
      </c>
      <c r="O22" s="226">
        <f>IF(N22="","-",L22*N22)</f>
        <v>1500000</v>
      </c>
      <c r="P22" s="227">
        <f>IF(O22="-","-",IF(E22&lt;$E$15,0,O22*J22))</f>
        <v>1500000</v>
      </c>
      <c r="Q22" s="215" cm="1">
        <f t="array" ref="Q22">IF(P22="-",0,P22/(1+'General inputs'!$H$32)^IFERROR(INDEX('MP Calculations'!$C$40:$C$130,MATCH(F22,'MP Calculations'!$D$40:$D$130,0),0),-1))</f>
        <v>1272390.3983666415</v>
      </c>
    </row>
    <row r="23" spans="3:18">
      <c r="C23" s="159"/>
      <c r="D23" s="165"/>
      <c r="E23" s="161"/>
      <c r="F23" s="169" t="str">
        <f t="shared" ref="F23:F27" si="0">IF(E23="","-",IF(E23&lt;$E$15,"ERROR - date outside of range",IF(MONTH(E23)&gt;=7,YEAR(E23)&amp;"-"&amp;RIGHT(YEAR(E23),2)+1,YEAR(E23)-1&amp;"-"&amp;RIGHT(YEAR(E23),2))))</f>
        <v>-</v>
      </c>
      <c r="G23" s="68"/>
      <c r="H23" s="167"/>
      <c r="I23" s="193"/>
      <c r="J23" s="190"/>
      <c r="K23" s="12"/>
      <c r="L23" s="174"/>
      <c r="M23" s="159"/>
      <c r="N23" s="173"/>
      <c r="O23" s="228" t="str">
        <f t="shared" ref="O23:O28" si="1">IF(N23="","-",L23*N23)</f>
        <v>-</v>
      </c>
      <c r="P23" s="229" t="str">
        <f t="shared" ref="P23:P28" si="2">IF(O23="-","-",IF(E23&lt;$E$15,0,O23*J23))</f>
        <v>-</v>
      </c>
      <c r="Q23" s="215" cm="1">
        <f t="array" ref="Q23">IF(P23="-",0,P23/(1+'General inputs'!$H$32)^IFERROR(INDEX('MP Calculations'!$C$40:$C$130,MATCH(F23,'MP Calculations'!$D$40:$D$130,0),0),-1))</f>
        <v>0</v>
      </c>
      <c r="R23" s="84"/>
    </row>
    <row r="24" spans="3:18">
      <c r="C24" s="159"/>
      <c r="D24" s="165"/>
      <c r="E24" s="161"/>
      <c r="F24" s="169" t="str">
        <f t="shared" si="0"/>
        <v>-</v>
      </c>
      <c r="G24" s="68"/>
      <c r="H24" s="167"/>
      <c r="I24" s="194"/>
      <c r="J24" s="191"/>
      <c r="K24" s="12"/>
      <c r="L24" s="159"/>
      <c r="M24" s="159"/>
      <c r="N24" s="173"/>
      <c r="O24" s="228" t="str">
        <f t="shared" si="1"/>
        <v>-</v>
      </c>
      <c r="P24" s="229" t="str">
        <f t="shared" si="2"/>
        <v>-</v>
      </c>
      <c r="Q24" s="215" cm="1">
        <f t="array" ref="Q24">IF(P24="-",0,P24/(1+'General inputs'!$H$32)^IFERROR(INDEX('MP Calculations'!$C$40:$C$130,MATCH(F24,'MP Calculations'!$D$40:$D$130,0),0),-1))</f>
        <v>0</v>
      </c>
    </row>
    <row r="25" spans="3:18">
      <c r="C25" s="159"/>
      <c r="D25" s="165"/>
      <c r="E25" s="161"/>
      <c r="F25" s="169" t="str">
        <f t="shared" si="0"/>
        <v>-</v>
      </c>
      <c r="G25" s="68"/>
      <c r="H25" s="167"/>
      <c r="I25" s="194"/>
      <c r="J25" s="191"/>
      <c r="K25" s="12"/>
      <c r="L25" s="159"/>
      <c r="M25" s="231"/>
      <c r="N25" s="173"/>
      <c r="O25" s="228" t="str">
        <f t="shared" si="1"/>
        <v>-</v>
      </c>
      <c r="P25" s="229" t="str">
        <f t="shared" si="2"/>
        <v>-</v>
      </c>
      <c r="Q25" s="215" cm="1">
        <f t="array" ref="Q25">IF(P25="-",0,P25/(1+'General inputs'!$H$32)^IFERROR(INDEX('MP Calculations'!$C$40:$C$130,MATCH(F25,'MP Calculations'!$D$40:$D$130,0),0),-1))</f>
        <v>0</v>
      </c>
      <c r="R25" s="188"/>
    </row>
    <row r="26" spans="3:18">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c r="O29" s="6" t="s">
        <v>19</v>
      </c>
      <c r="P29" s="220">
        <f>SUM(P22:P28)</f>
        <v>1500000</v>
      </c>
      <c r="Q29" s="220">
        <f>SUM(Q22:Q28)</f>
        <v>1272390.3983666415</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2" zoomScaleNormal="100" workbookViewId="0">
      <selection activeCell="BB31" sqref="BB31"/>
    </sheetView>
  </sheetViews>
  <sheetFormatPr defaultRowHeight="11.5" outlineLevelCol="1"/>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c r="C3" s="50" t="s">
        <v>117</v>
      </c>
    </row>
    <row r="6" spans="3:40">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c r="F8" s="39" t="s">
        <v>273</v>
      </c>
      <c r="G8" s="39"/>
      <c r="H8" s="40"/>
      <c r="I8" s="39" t="s">
        <v>20</v>
      </c>
      <c r="J8" s="39"/>
      <c r="K8" s="40"/>
      <c r="L8" s="259" t="s">
        <v>93</v>
      </c>
      <c r="M8" s="260"/>
      <c r="N8" s="40"/>
      <c r="O8" s="259" t="s">
        <v>95</v>
      </c>
      <c r="P8" s="260"/>
      <c r="Q8" s="40"/>
      <c r="R8" s="259" t="s">
        <v>94</v>
      </c>
      <c r="S8" s="260"/>
      <c r="T8" s="40"/>
      <c r="U8" s="259" t="s">
        <v>119</v>
      </c>
      <c r="V8" s="260"/>
      <c r="W8" s="40"/>
      <c r="X8" s="259" t="s">
        <v>120</v>
      </c>
      <c r="Y8" s="260"/>
      <c r="Z8" s="40"/>
      <c r="AA8" s="259" t="s">
        <v>121</v>
      </c>
      <c r="AB8" s="260"/>
      <c r="AC8" s="40"/>
      <c r="AD8" s="259" t="s">
        <v>122</v>
      </c>
      <c r="AE8" s="260"/>
      <c r="AF8" s="40"/>
      <c r="AG8" s="259" t="s">
        <v>123</v>
      </c>
      <c r="AH8" s="260"/>
    </row>
    <row r="9" spans="3:40">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c r="C12" s="26" t="str">
        <f>'MP Calculations'!D40</f>
        <v>1995-96</v>
      </c>
      <c r="D12" s="176">
        <f>IF(LEFT($C12,4)*1&lt;LEFT('General inputs'!$I$16,4)+'General inputs'!$H$38,SUM(G12,J12,M12,P12,S12,V12,Y12,AB12,AE12,AH12),"")</f>
        <v>46.35755361057636</v>
      </c>
      <c r="F12" s="41">
        <v>46.35755361057636</v>
      </c>
      <c r="G12" s="176">
        <f>F12*$G$9/$F$6</f>
        <v>46.35755361057636</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c r="C13" s="26" t="str">
        <f>'MP Calculations'!D41</f>
        <v>1996-97</v>
      </c>
      <c r="D13" s="177">
        <f>IF(LEFT($C13,4)*1&lt;LEFT('General inputs'!$I$16,4)+'General inputs'!$H$38,SUM(G13,J13,M13,P13,S13,V13,Y13,AB13,AE13,AH13),"")</f>
        <v>94.125767577521387</v>
      </c>
      <c r="F13" s="32">
        <v>94.125767577521401</v>
      </c>
      <c r="G13" s="177">
        <f t="shared" ref="G13:G43" si="9">F13*$G$9/$F$6</f>
        <v>94.125767577521387</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c r="C14" s="26" t="str">
        <f>'MP Calculations'!D42</f>
        <v>1997-98</v>
      </c>
      <c r="D14" s="177">
        <f>IF(LEFT($C14,4)*1&lt;LEFT('General inputs'!$I$16,4)+'General inputs'!$H$38,SUM(G14,J14,M14,P14,S14,V14,Y14,AB14,AE14,AH14),"")</f>
        <v>95.557891131215001</v>
      </c>
      <c r="F14" s="32">
        <v>95.557891131215001</v>
      </c>
      <c r="G14" s="177">
        <f t="shared" si="9"/>
        <v>95.557891131215001</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c r="C15" s="26" t="str">
        <f>'MP Calculations'!D43</f>
        <v>1998-99</v>
      </c>
      <c r="D15" s="177">
        <f>IF(LEFT($C15,4)*1&lt;LEFT('General inputs'!$I$16,4)+'General inputs'!$H$38,SUM(G15,J15,M15,P15,S15,V15,Y15,AB15,AE15,AH15),"")</f>
        <v>97.011804444775393</v>
      </c>
      <c r="F15" s="32">
        <v>97.011804444775407</v>
      </c>
      <c r="G15" s="177">
        <f t="shared" si="9"/>
        <v>97.011804444775393</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c r="C16" s="26" t="str">
        <f>'MP Calculations'!D44</f>
        <v>1999-00</v>
      </c>
      <c r="D16" s="177">
        <f>IF(LEFT($C16,4)*1&lt;LEFT('General inputs'!$I$16,4)+'General inputs'!$H$38,SUM(G16,J16,M16,P16,S16,V16,Y16,AB16,AE16,AH16),"")</f>
        <v>98.487839049401373</v>
      </c>
      <c r="F16" s="32">
        <v>98.487839049401373</v>
      </c>
      <c r="G16" s="177">
        <f t="shared" si="9"/>
        <v>98.487839049401373</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c r="C17" s="26" t="str">
        <f>'MP Calculations'!D45</f>
        <v>2000-01</v>
      </c>
      <c r="D17" s="177">
        <f>IF(LEFT($C17,4)*1&lt;LEFT('General inputs'!$I$16,4)+'General inputs'!$H$38,SUM(G17,J17,M17,P17,S17,V17,Y17,AB17,AE17,AH17),"")</f>
        <v>99.986331520536623</v>
      </c>
      <c r="F17" s="32">
        <v>99.986331520536623</v>
      </c>
      <c r="G17" s="177">
        <f t="shared" si="9"/>
        <v>99.986331520536623</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c r="C18" s="26" t="str">
        <f>'MP Calculations'!D46</f>
        <v>2001-02</v>
      </c>
      <c r="D18" s="177">
        <f>IF(LEFT($C18,4)*1&lt;LEFT('General inputs'!$I$16,4)+'General inputs'!$H$38,SUM(G18,J18,M18,P18,S18,V18,Y18,AB18,AE18,AH18),"")</f>
        <v>101.50762355462575</v>
      </c>
      <c r="F18" s="32">
        <v>101.50762355462575</v>
      </c>
      <c r="G18" s="177">
        <f t="shared" si="9"/>
        <v>101.50762355462575</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c r="C19" s="26" t="str">
        <f>'MP Calculations'!D47</f>
        <v>2002-03</v>
      </c>
      <c r="D19" s="177">
        <f>IF(LEFT($C19,4)*1&lt;LEFT('General inputs'!$I$16,4)+'General inputs'!$H$38,SUM(G19,J19,M19,P19,S19,V19,Y19,AB19,AE19,AH19),"")</f>
        <v>103.05206204700697</v>
      </c>
      <c r="F19" s="32">
        <v>103.05206204700698</v>
      </c>
      <c r="G19" s="177">
        <f t="shared" si="9"/>
        <v>103.05206204700697</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c r="C20" s="26" t="str">
        <f>'MP Calculations'!D48</f>
        <v>2003-04</v>
      </c>
      <c r="D20" s="177">
        <f>IF(LEFT($C20,4)*1&lt;LEFT('General inputs'!$I$16,4)+'General inputs'!$H$38,SUM(G20,J20,M20,P20,S20,V20,Y20,AB20,AE20,AH20),"")</f>
        <v>104.61999917105277</v>
      </c>
      <c r="F20" s="32">
        <v>104.61999917105277</v>
      </c>
      <c r="G20" s="177">
        <f t="shared" si="9"/>
        <v>104.61999917105277</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c r="C21" s="26" t="str">
        <f>'MP Calculations'!D49</f>
        <v>2004-05</v>
      </c>
      <c r="D21" s="177">
        <f>IF(LEFT($C21,4)*1&lt;LEFT('General inputs'!$I$16,4)+'General inputs'!$H$38,SUM(G21,J21,M21,P21,S21,V21,Y21,AB21,AE21,AH21),"")</f>
        <v>106.21179245843994</v>
      </c>
      <c r="F21" s="32">
        <v>106.21179245843996</v>
      </c>
      <c r="G21" s="177">
        <f t="shared" si="9"/>
        <v>106.21179245843994</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c r="C22" s="26" t="str">
        <f>'MP Calculations'!D50</f>
        <v>2005-06</v>
      </c>
      <c r="D22" s="177">
        <f>IF(LEFT($C22,4)*1&lt;LEFT('General inputs'!$I$16,4)+'General inputs'!$H$38,SUM(G22,J22,M22,P22,S22,V22,Y22,AB22,AE22,AH22),"")</f>
        <v>107.82780488069693</v>
      </c>
      <c r="F22" s="32">
        <v>107.82780488069693</v>
      </c>
      <c r="G22" s="177">
        <f t="shared" si="9"/>
        <v>107.82780488069693</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c r="C23" s="26" t="str">
        <f>'MP Calculations'!D51</f>
        <v>2006-07</v>
      </c>
      <c r="D23" s="177">
        <f>IF(LEFT($C23,4)*1&lt;LEFT('General inputs'!$I$16,4)+'General inputs'!$H$38,SUM(G23,J23,M23,P23,S23,V23,Y23,AB23,AE23,AH23),"")</f>
        <v>109.46840493195486</v>
      </c>
      <c r="F23" s="32">
        <v>109.46840493195486</v>
      </c>
      <c r="G23" s="177">
        <f t="shared" si="9"/>
        <v>109.46840493195486</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c r="C24" s="26" t="str">
        <f>'MP Calculations'!D52</f>
        <v>2007-08</v>
      </c>
      <c r="D24" s="177">
        <f>IF(LEFT($C24,4)*1&lt;LEFT('General inputs'!$I$16,4)+'General inputs'!$H$38,SUM(G24,J24,M24,P24,S24,V24,Y24,AB24,AE24,AH24),"")</f>
        <v>111.13396671299596</v>
      </c>
      <c r="F24" s="32">
        <v>111.13396671299597</v>
      </c>
      <c r="G24" s="177">
        <f t="shared" si="9"/>
        <v>111.13396671299596</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c r="C25" s="26" t="str">
        <f>'MP Calculations'!D53</f>
        <v>2008-09</v>
      </c>
      <c r="D25" s="177">
        <f>IF(LEFT($C25,4)*1&lt;LEFT('General inputs'!$I$16,4)+'General inputs'!$H$38,SUM(G25,J25,M25,P25,S25,V25,Y25,AB25,AE25,AH25),"")</f>
        <v>112.82487001653318</v>
      </c>
      <c r="F25" s="32">
        <v>112.82487001653317</v>
      </c>
      <c r="G25" s="177">
        <f t="shared" si="9"/>
        <v>112.82487001653318</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c r="C26" s="26" t="str">
        <f>'MP Calculations'!D54</f>
        <v>2009-10</v>
      </c>
      <c r="D26" s="177">
        <f>IF(LEFT($C26,4)*1&lt;LEFT('General inputs'!$I$16,4)+'General inputs'!$H$38,SUM(G26,J26,M26,P26,S26,V26,Y26,AB26,AE26,AH26),"")</f>
        <v>114.541500413834</v>
      </c>
      <c r="F26" s="32">
        <v>114.541500413834</v>
      </c>
      <c r="G26" s="177">
        <f t="shared" si="9"/>
        <v>114.541500413834</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c r="C27" s="26" t="str">
        <f>'MP Calculations'!D55</f>
        <v>2010-11</v>
      </c>
      <c r="D27" s="177">
        <f>IF(LEFT($C27,4)*1&lt;LEFT('General inputs'!$I$16,4)+'General inputs'!$H$38,SUM(G27,J27,M27,P27,S27,V27,Y27,AB27,AE27,AH27),"")</f>
        <v>116.28424934263056</v>
      </c>
      <c r="F27" s="32">
        <v>116.28424934263057</v>
      </c>
      <c r="G27" s="177">
        <f t="shared" si="9"/>
        <v>116.28424934263056</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c r="C28" s="26" t="str">
        <f>'MP Calculations'!D56</f>
        <v>2011-12</v>
      </c>
      <c r="D28" s="177">
        <f>IF(LEFT($C28,4)*1&lt;LEFT('General inputs'!$I$16,4)+'General inputs'!$H$38,SUM(G28,J28,M28,P28,S28,V28,Y28,AB28,AE28,AH28),"")</f>
        <v>118.05351419637917</v>
      </c>
      <c r="F28" s="32">
        <v>118.05351419637918</v>
      </c>
      <c r="G28" s="177">
        <f t="shared" si="9"/>
        <v>118.05351419637917</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c r="C29" s="26" t="str">
        <f>'MP Calculations'!D57</f>
        <v>2012-13</v>
      </c>
      <c r="D29" s="177">
        <f>IF(LEFT($C29,4)*1&lt;LEFT('General inputs'!$I$16,4)+'General inputs'!$H$38,SUM(G29,J29,M29,P29,S29,V29,Y29,AB29,AE29,AH29),"")</f>
        <v>119.84969841487691</v>
      </c>
      <c r="F29" s="32">
        <v>119.84969841487691</v>
      </c>
      <c r="G29" s="177">
        <f t="shared" si="9"/>
        <v>119.84969841487691</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c r="C30" s="26" t="str">
        <f>'MP Calculations'!D58</f>
        <v>2013-14</v>
      </c>
      <c r="D30" s="177">
        <f>IF(LEFT($C30,4)*1&lt;LEFT('General inputs'!$I$16,4)+'General inputs'!$H$38,SUM(G30,J30,M30,P30,S30,V30,Y30,AB30,AE30,AH30),"")</f>
        <v>121.67321157626249</v>
      </c>
      <c r="F30" s="32">
        <v>121.67321157626247</v>
      </c>
      <c r="G30" s="177">
        <f t="shared" si="9"/>
        <v>121.67321157626249</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c r="C31" s="26" t="str">
        <f>'MP Calculations'!D59</f>
        <v>2014-15</v>
      </c>
      <c r="D31" s="177">
        <f>IF(LEFT($C31,4)*1&lt;LEFT('General inputs'!$I$16,4)+'General inputs'!$H$38,SUM(G31,J31,M31,P31,S31,V31,Y31,AB31,AE31,AH31),"")</f>
        <v>123.52446949039222</v>
      </c>
      <c r="F31" s="32">
        <v>123.52446949039222</v>
      </c>
      <c r="G31" s="177">
        <f t="shared" si="9"/>
        <v>123.52446949039222</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c r="C32" s="26" t="str">
        <f>'MP Calculations'!D60</f>
        <v>2015-16</v>
      </c>
      <c r="D32" s="177">
        <f>IF(LEFT($C32,4)*1&lt;LEFT('General inputs'!$I$16,4)+'General inputs'!$H$38,SUM(G32,J32,M32,P32,S32,V32,Y32,AB32,AE32,AH32),"")</f>
        <v>125.40389429368771</v>
      </c>
      <c r="F32" s="32">
        <v>125.4038942936877</v>
      </c>
      <c r="G32" s="177">
        <f t="shared" si="9"/>
        <v>125.40389429368771</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c r="C33" s="26" t="str">
        <f>'MP Calculations'!D61</f>
        <v>2016-17</v>
      </c>
      <c r="D33" s="177">
        <f>IF(LEFT($C33,4)*1&lt;LEFT('General inputs'!$I$16,4)+'General inputs'!$H$38,SUM(G33,J33,M33,P33,S33,V33,Y33,AB33,AE33,AH33),"")</f>
        <v>127.31191454536747</v>
      </c>
      <c r="F33" s="32">
        <v>127.31191454536747</v>
      </c>
      <c r="G33" s="177">
        <f t="shared" si="9"/>
        <v>127.31191454536747</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c r="C34" s="26" t="str">
        <f>'MP Calculations'!D62</f>
        <v>2017-18</v>
      </c>
      <c r="D34" s="177">
        <f>IF(LEFT($C34,4)*1&lt;LEFT('General inputs'!$I$16,4)+'General inputs'!$H$38,SUM(G34,J34,M34,P34,S34,V34,Y34,AB34,AE34,AH34),"")</f>
        <v>129.24896532517596</v>
      </c>
      <c r="F34" s="32">
        <v>129.24896532517596</v>
      </c>
      <c r="G34" s="177">
        <f t="shared" si="9"/>
        <v>129.24896532517596</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c r="C35" s="26" t="str">
        <f>'MP Calculations'!D63</f>
        <v>2018-19</v>
      </c>
      <c r="D35" s="177">
        <f>IF(LEFT($C35,4)*1&lt;LEFT('General inputs'!$I$16,4)+'General inputs'!$H$38,SUM(G35,J35,M35,P35,S35,V35,Y35,AB35,AE35,AH35),"")</f>
        <v>131.21548833259658</v>
      </c>
      <c r="F35" s="32">
        <v>131.21548833259658</v>
      </c>
      <c r="G35" s="177">
        <f t="shared" si="9"/>
        <v>131.21548833259658</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c r="C36" s="26" t="str">
        <f>'MP Calculations'!D64</f>
        <v>2019-20</v>
      </c>
      <c r="D36" s="177">
        <f>IF(LEFT($C36,4)*1&lt;LEFT('General inputs'!$I$16,4)+'General inputs'!$H$38,SUM(G36,J36,M36,P36,S36,V36,Y36,AB36,AE36,AH36),"")</f>
        <v>133.21193198757828</v>
      </c>
      <c r="F36" s="32">
        <v>133.21193198757828</v>
      </c>
      <c r="G36" s="177">
        <f t="shared" si="9"/>
        <v>133.21193198757828</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c r="C37" s="26" t="str">
        <f>'MP Calculations'!D65</f>
        <v>2020-21</v>
      </c>
      <c r="D37" s="177">
        <f>IF(LEFT($C37,4)*1&lt;LEFT('General inputs'!$I$16,4)+'General inputs'!$H$38,SUM(G37,J37,M37,P37,S37,V37,Y37,AB37,AE37,AH37),"")</f>
        <v>135.23875153276822</v>
      </c>
      <c r="F37" s="32">
        <v>135.23875153276822</v>
      </c>
      <c r="G37" s="177">
        <f t="shared" si="9"/>
        <v>135.23875153276822</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c r="C38" s="26" t="str">
        <f>'MP Calculations'!D66</f>
        <v>2021-22</v>
      </c>
      <c r="D38" s="177">
        <f>IF(LEFT($C38,4)*1&lt;LEFT('General inputs'!$I$16,4)+'General inputs'!$H$38,SUM(G38,J38,M38,P38,S38,V38,Y38,AB38,AE38,AH38),"")</f>
        <v>137.29640913733965</v>
      </c>
      <c r="F38" s="32">
        <v>137.29640913733965</v>
      </c>
      <c r="G38" s="177">
        <f t="shared" si="9"/>
        <v>137.29640913733965</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c r="C39" s="26" t="str">
        <f>'MP Calculations'!D67</f>
        <v>2022-23</v>
      </c>
      <c r="D39" s="177">
        <f>IF(LEFT($C39,4)*1&lt;LEFT('General inputs'!$I$16,4)+'General inputs'!$H$38,SUM(G39,J39,M39,P39,S39,V39,Y39,AB39,AE39,AH39),"")</f>
        <v>139.38537400236601</v>
      </c>
      <c r="F39" s="32">
        <v>139.38537400236601</v>
      </c>
      <c r="G39" s="177">
        <f t="shared" si="9"/>
        <v>139.38537400236601</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c r="C40" s="26" t="str">
        <f>'MP Calculations'!D68</f>
        <v>2023-24</v>
      </c>
      <c r="D40" s="177">
        <f>IF(LEFT($C40,4)*1&lt;LEFT('General inputs'!$I$16,4)+'General inputs'!$H$38,SUM(G40,J40,M40,P40,S40,V40,Y40,AB40,AE40,AH40),"")</f>
        <v>141.50612246780838</v>
      </c>
      <c r="F40" s="32">
        <v>141.50612246780838</v>
      </c>
      <c r="G40" s="177">
        <f t="shared" si="9"/>
        <v>141.50612246780838</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c r="C41" s="26" t="str">
        <f>'MP Calculations'!D69</f>
        <v>2024-25</v>
      </c>
      <c r="D41" s="177">
        <f>IF(LEFT($C41,4)*1&lt;LEFT('General inputs'!$I$16,4)+'General inputs'!$H$38,SUM(G41,J41,M41,P41,S41,V41,Y41,AB41,AE41,AH41),"")</f>
        <v>143.65913812116014</v>
      </c>
      <c r="F41" s="32">
        <v>143.65913812116014</v>
      </c>
      <c r="G41" s="177">
        <f t="shared" si="9"/>
        <v>143.65913812116014</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c r="C42" s="26" t="str">
        <f>'MP Calculations'!D70</f>
        <v>2025-26</v>
      </c>
      <c r="D42" s="177">
        <f>IF(LEFT($C42,4)*1&lt;LEFT('General inputs'!$I$16,4)+'General inputs'!$H$38,SUM(G42,J42,M42,P42,S42,V42,Y42,AB42,AE42,AH42),"")</f>
        <v>145.84491190767221</v>
      </c>
      <c r="F42" s="32">
        <v>145.84491190767221</v>
      </c>
      <c r="G42" s="177">
        <f t="shared" si="9"/>
        <v>145.84491190767221</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c r="C43" s="26" t="str">
        <f>'MP Calculations'!D71</f>
        <v>2026-27</v>
      </c>
      <c r="D43" s="177">
        <f>IF(LEFT($C43,4)*1&lt;LEFT('General inputs'!$I$16,4)+'General inputs'!$H$38,SUM(G43,J43,M43,P43,S43,V43,Y43,AB43,AE43,AH43),"")</f>
        <v>148.06394224234646</v>
      </c>
      <c r="F43" s="32">
        <v>148.06394224234646</v>
      </c>
      <c r="G43" s="177">
        <f t="shared" si="9"/>
        <v>148.06394224234646</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c r="C44" s="26" t="str">
        <f>'MP Calculations'!D72</f>
        <v>2027-28</v>
      </c>
      <c r="D44" s="177">
        <f>IF(LEFT($C44,4)*1&lt;LEFT('General inputs'!$I$16,4)+'General inputs'!$H$38,SUM(G44,J44,M44,P44,S44,V44,Y44,AB44,AE44,AH44),"")</f>
        <v>150.31673512356247</v>
      </c>
      <c r="F44" s="32">
        <v>150.31673512356247</v>
      </c>
      <c r="G44" s="177">
        <f t="shared" ref="G44:G75" si="11">F44*$G$9/$F$6</f>
        <v>150.31673512356247</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c r="C45" s="26" t="str">
        <f>'MP Calculations'!D73</f>
        <v>2028-29</v>
      </c>
      <c r="D45" s="177">
        <f>IF(LEFT($C45,4)*1&lt;LEFT('General inputs'!$I$16,4)+'General inputs'!$H$38,SUM(G45,J45,M45,P45,S45,V45,Y45,AB45,AE45,AH45),"")</f>
        <v>152.60380424847244</v>
      </c>
      <c r="F45" s="32">
        <v>152.60380424847244</v>
      </c>
      <c r="G45" s="177">
        <f t="shared" si="11"/>
        <v>152.60380424847244</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c r="C46" s="26" t="str">
        <f>'MP Calculations'!D74</f>
        <v>2029-30</v>
      </c>
      <c r="D46" s="177">
        <f>IF(LEFT($C46,4)*1&lt;LEFT('General inputs'!$I$16,4)+'General inputs'!$H$38,SUM(G46,J46,M46,P46,S46,V46,Y46,AB46,AE46,AH46),"")</f>
        <v>154.92567113010955</v>
      </c>
      <c r="F46" s="32">
        <v>154.92567113010955</v>
      </c>
      <c r="G46" s="177">
        <f t="shared" si="11"/>
        <v>154.92567113010955</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c r="C47" s="26" t="str">
        <f>'MP Calculations'!D75</f>
        <v>2030-31</v>
      </c>
      <c r="D47" s="177">
        <f>IF(LEFT($C47,4)*1&lt;LEFT('General inputs'!$I$16,4)+'General inputs'!$H$38,SUM(G47,J47,M47,P47,S47,V47,Y47,AB47,AE47,AH47),"")</f>
        <v>157.28286521635528</v>
      </c>
      <c r="F47" s="32">
        <v>157.28286521635528</v>
      </c>
      <c r="G47" s="177">
        <f t="shared" si="11"/>
        <v>157.28286521635528</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c r="C48" s="26" t="str">
        <f>'MP Calculations'!D76</f>
        <v>2031-32</v>
      </c>
      <c r="D48" s="177">
        <f>IF(LEFT($C48,4)*1&lt;LEFT('General inputs'!$I$16,4)+'General inputs'!$H$38,SUM(G48,J48,M48,P48,S48,V48,Y48,AB48,AE48,AH48),"")</f>
        <v>159.67592401061847</v>
      </c>
      <c r="F48" s="32">
        <v>159.67592401061847</v>
      </c>
      <c r="G48" s="177">
        <f t="shared" si="11"/>
        <v>159.67592401061847</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c r="C49" s="26" t="str">
        <f>'MP Calculations'!D77</f>
        <v>2032-33</v>
      </c>
      <c r="D49" s="177">
        <f>IF(LEFT($C49,4)*1&lt;LEFT('General inputs'!$I$16,4)+'General inputs'!$H$38,SUM(G49,J49,M49,P49,S49,V49,Y49,AB49,AE49,AH49),"")</f>
        <v>162.10539319444433</v>
      </c>
      <c r="F49" s="32">
        <v>162.10539319444433</v>
      </c>
      <c r="G49" s="177">
        <f t="shared" si="11"/>
        <v>162.10539319444433</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c r="C50" s="26" t="str">
        <f>'MP Calculations'!D78</f>
        <v>2033-34</v>
      </c>
      <c r="D50" s="177">
        <f>IF(LEFT($C50,4)*1&lt;LEFT('General inputs'!$I$16,4)+'General inputs'!$H$38,SUM(G50,J50,M50,P50,S50,V50,Y50,AB50,AE50,AH50),"")</f>
        <v>164.57182675189688</v>
      </c>
      <c r="F50" s="32">
        <v>164.57182675189688</v>
      </c>
      <c r="G50" s="177">
        <f t="shared" si="11"/>
        <v>164.57182675189688</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c r="C51" s="26" t="str">
        <f>'MP Calculations'!D79</f>
        <v>2034-35</v>
      </c>
      <c r="D51" s="177">
        <f>IF(LEFT($C51,4)*1&lt;LEFT('General inputs'!$I$16,4)+'General inputs'!$H$38,SUM(G51,J51,M51,P51,S51,V51,Y51,AB51,AE51,AH51),"")</f>
        <v>167.07578709592417</v>
      </c>
      <c r="F51" s="32">
        <v>167.07578709592417</v>
      </c>
      <c r="G51" s="177">
        <f t="shared" si="11"/>
        <v>167.07578709592417</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c r="C52" s="26" t="str">
        <f>'MP Calculations'!D80</f>
        <v>2035-36</v>
      </c>
      <c r="D52" s="177">
        <f>IF(LEFT($C52,4)*1&lt;LEFT('General inputs'!$I$16,4)+'General inputs'!$H$38,SUM(G52,J52,M52,P52,S52,V52,Y52,AB52,AE52,AH52),"")</f>
        <v>169.61784519658977</v>
      </c>
      <c r="F52" s="32">
        <v>169.61784519658977</v>
      </c>
      <c r="G52" s="177">
        <f t="shared" si="11"/>
        <v>169.61784519658977</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c r="C53" s="26" t="str">
        <f>'MP Calculations'!D81</f>
        <v>2036-37</v>
      </c>
      <c r="D53" s="177">
        <f>IF(LEFT($C53,4)*1&lt;LEFT('General inputs'!$I$16,4)+'General inputs'!$H$38,SUM(G53,J53,M53,P53,S53,V53,Y53,AB53,AE53,AH53),"")</f>
        <v>172.19858071126146</v>
      </c>
      <c r="F53" s="32">
        <v>172.19858071126146</v>
      </c>
      <c r="G53" s="177">
        <f t="shared" si="11"/>
        <v>172.19858071126146</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c r="C54" s="26" t="str">
        <f>'MP Calculations'!D82</f>
        <v>2037-38</v>
      </c>
      <c r="D54" s="177">
        <f>IF(LEFT($C54,4)*1&lt;LEFT('General inputs'!$I$16,4)+'General inputs'!$H$38,SUM(G54,J54,M54,P54,S54,V54,Y54,AB54,AE54,AH54),"")</f>
        <v>174.818582116779</v>
      </c>
      <c r="F54" s="32">
        <v>174.818582116779</v>
      </c>
      <c r="G54" s="177">
        <f t="shared" si="11"/>
        <v>174.818582116779</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c r="C55" s="26" t="str">
        <f>'MP Calculations'!D83</f>
        <v>2038-39</v>
      </c>
      <c r="D55" s="177">
        <f>IF(LEFT($C55,4)*1&lt;LEFT('General inputs'!$I$16,4)+'General inputs'!$H$38,SUM(G55,J55,M55,P55,S55,V55,Y55,AB55,AE55,AH55),"")</f>
        <v>177.47844684368829</v>
      </c>
      <c r="F55" s="32">
        <v>177.47844684368829</v>
      </c>
      <c r="G55" s="177">
        <f t="shared" si="11"/>
        <v>177.47844684368829</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c r="C56" s="26" t="str">
        <f>'MP Calculations'!D84</f>
        <v>2039-40</v>
      </c>
      <c r="D56" s="177">
        <f>IF(LEFT($C56,4)*1&lt;LEFT('General inputs'!$I$16,4)+'General inputs'!$H$38,SUM(G56,J56,M56,P56,S56,V56,Y56,AB56,AE56,AH56),"")</f>
        <v>180.1787814124109</v>
      </c>
      <c r="F56" s="32">
        <v>180.1787814124109</v>
      </c>
      <c r="G56" s="177">
        <f t="shared" si="11"/>
        <v>180.1787814124109</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c r="C57" s="26" t="str">
        <f>'MP Calculations'!D85</f>
        <v>2040-41</v>
      </c>
      <c r="D57" s="177">
        <f>IF(LEFT($C57,4)*1&lt;LEFT('General inputs'!$I$16,4)+'General inputs'!$H$38,SUM(G57,J57,M57,P57,S57,V57,Y57,AB57,AE57,AH57),"")</f>
        <v>182.92020157160005</v>
      </c>
      <c r="F57" s="32">
        <v>182.92020157160005</v>
      </c>
      <c r="G57" s="177">
        <f t="shared" si="11"/>
        <v>182.92020157160005</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c r="C58" s="26" t="str">
        <f>'MP Calculations'!D86</f>
        <v>2041-42</v>
      </c>
      <c r="D58" s="177">
        <f>IF(LEFT($C58,4)*1&lt;LEFT('General inputs'!$I$16,4)+'General inputs'!$H$38,SUM(G58,J58,M58,P58,S58,V58,Y58,AB58,AE58,AH58),"")</f>
        <v>185.70333243851562</v>
      </c>
      <c r="F58" s="32">
        <v>185.70333243851564</v>
      </c>
      <c r="G58" s="177">
        <f t="shared" si="11"/>
        <v>185.70333243851562</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c r="C59" s="26" t="str">
        <f>'MP Calculations'!D87</f>
        <v>2042-43</v>
      </c>
      <c r="D59" s="177">
        <f>IF(LEFT($C59,4)*1&lt;LEFT('General inputs'!$I$16,4)+'General inputs'!$H$38,SUM(G59,J59,M59,P59,S59,V59,Y59,AB59,AE59,AH59),"")</f>
        <v>188.52880864156398</v>
      </c>
      <c r="F59" s="32">
        <v>188.52880864156396</v>
      </c>
      <c r="G59" s="177">
        <f t="shared" si="11"/>
        <v>188.52880864156398</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c r="C60" s="26" t="str">
        <f>'MP Calculations'!D88</f>
        <v>2043-44</v>
      </c>
      <c r="D60" s="177">
        <f>IF(LEFT($C60,4)*1&lt;LEFT('General inputs'!$I$16,4)+'General inputs'!$H$38,SUM(G60,J60,M60,P60,S60,V60,Y60,AB60,AE60,AH60),"")</f>
        <v>191.39727446504915</v>
      </c>
      <c r="F60" s="32">
        <v>191.39727446504912</v>
      </c>
      <c r="G60" s="177">
        <f t="shared" si="11"/>
        <v>191.39727446504915</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c r="C61" s="26" t="str">
        <f>'MP Calculations'!D89</f>
        <v>2044-45</v>
      </c>
      <c r="D61" s="177">
        <f>IF(LEFT($C61,4)*1&lt;LEFT('General inputs'!$I$16,4)+'General inputs'!$H$38,SUM(G61,J61,M61,P61,S61,V61,Y61,AB61,AE61,AH61),"")</f>
        <v>194.30938399603474</v>
      </c>
      <c r="F61" s="32">
        <v>194.30938399603474</v>
      </c>
      <c r="G61" s="177">
        <f t="shared" si="11"/>
        <v>194.30938399603474</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c r="C62" s="26" t="str">
        <f>'MP Calculations'!D90</f>
        <v>2045-46</v>
      </c>
      <c r="D62" s="177">
        <f>IF(LEFT($C62,4)*1&lt;LEFT('General inputs'!$I$16,4)+'General inputs'!$H$38,SUM(G62,J62,M62,P62,S62,V62,Y62,AB62,AE62,AH62),"")</f>
        <v>197.26580127353373</v>
      </c>
      <c r="F62" s="32">
        <v>197.26580127353373</v>
      </c>
      <c r="G62" s="177">
        <f t="shared" si="11"/>
        <v>197.26580127353373</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c r="C63" s="26" t="str">
        <f>'MP Calculations'!D91</f>
        <v>2046-47</v>
      </c>
      <c r="D63" s="177">
        <f>IF(LEFT($C63,4)*1&lt;LEFT('General inputs'!$I$16,4)+'General inputs'!$H$38,SUM(G63,J63,M63,P63,S63,V63,Y63,AB63,AE63,AH63),"")</f>
        <v>200.26720043991006</v>
      </c>
      <c r="F63" s="32">
        <v>200.26720043991008</v>
      </c>
      <c r="G63" s="177">
        <f t="shared" si="11"/>
        <v>200.26720043991006</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c r="C64" s="26" t="str">
        <f>'MP Calculations'!D92</f>
        <v>2047-48</v>
      </c>
      <c r="D64" s="177">
        <f>IF(LEFT($C64,4)*1&lt;LEFT('General inputs'!$I$16,4)+'General inputs'!$H$38,SUM(G64,J64,M64,P64,S64,V64,Y64,AB64,AE64,AH64),"")</f>
        <v>203.3142658946017</v>
      </c>
      <c r="F64" s="32">
        <v>203.3142658946017</v>
      </c>
      <c r="G64" s="177">
        <f t="shared" si="11"/>
        <v>203.3142658946017</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c r="C65" s="26" t="str">
        <f>'MP Calculations'!D93</f>
        <v>2048-49</v>
      </c>
      <c r="D65" s="177">
        <f>IF(LEFT($C65,4)*1&lt;LEFT('General inputs'!$I$16,4)+'General inputs'!$H$38,SUM(G65,J65,M65,P65,S65,V65,Y65,AB65,AE65,AH65),"")</f>
        <v>206.40769245018961</v>
      </c>
      <c r="F65" s="32">
        <v>206.40769245018964</v>
      </c>
      <c r="G65" s="177">
        <f t="shared" si="11"/>
        <v>206.40769245018961</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c r="C66" s="26" t="str">
        <f>'MP Calculations'!D94</f>
        <v>2049-50</v>
      </c>
      <c r="D66" s="177">
        <f>IF(LEFT($C66,4)*1&lt;LEFT('General inputs'!$I$16,4)+'General inputs'!$H$38,SUM(G66,J66,M66,P66,S66,V66,Y66,AB66,AE66,AH66),"")</f>
        <v>209.54818549081753</v>
      </c>
      <c r="F66" s="32">
        <v>209.54818549081756</v>
      </c>
      <c r="G66" s="177">
        <f t="shared" si="11"/>
        <v>209.54818549081753</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c r="C67" s="26" t="str">
        <f>'MP Calculations'!D95</f>
        <v>2050-51</v>
      </c>
      <c r="D67" s="177">
        <f>IF(LEFT($C67,4)*1&lt;LEFT('General inputs'!$I$16,4)+'General inputs'!$H$38,SUM(G67,J67,M67,P67,S67,V67,Y67,AB67,AE67,AH67),"")</f>
        <v>212.73646113306313</v>
      </c>
      <c r="F67" s="32">
        <v>212.73646113306313</v>
      </c>
      <c r="G67" s="177">
        <f t="shared" si="11"/>
        <v>212.73646113306313</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c r="C68" s="26" t="str">
        <f>'MP Calculations'!D96</f>
        <v>2051-52</v>
      </c>
      <c r="D68" s="177">
        <f>IF(LEFT($C68,4)*1&lt;LEFT('General inputs'!$I$16,4)+'General inputs'!$H$38,SUM(G68,J68,M68,P68,S68,V68,Y68,AB68,AE68,AH68),"")</f>
        <v>215.97324638919963</v>
      </c>
      <c r="F68" s="32">
        <v>215.97324638919963</v>
      </c>
      <c r="G68" s="177">
        <f t="shared" si="11"/>
        <v>215.97324638919963</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28" zoomScaleNormal="100" workbookViewId="0">
      <selection activeCell="N46" sqref="N46"/>
    </sheetView>
  </sheetViews>
  <sheetFormatPr defaultRowHeight="11.5"/>
  <cols>
    <col min="1" max="2" width="2.69921875" customWidth="1"/>
    <col min="3" max="3" width="5.69921875" customWidth="1"/>
    <col min="7" max="7" width="9.09765625" customWidth="1"/>
  </cols>
  <sheetData>
    <row r="3" spans="3:7" ht="20">
      <c r="C3" s="99" t="s">
        <v>110</v>
      </c>
    </row>
    <row r="6" spans="3:7">
      <c r="C6" t="s">
        <v>194</v>
      </c>
      <c r="G6" s="155" t="s">
        <v>268</v>
      </c>
    </row>
    <row r="8" spans="3:7" ht="13.5">
      <c r="C8" t="s">
        <v>67</v>
      </c>
    </row>
    <row r="10" spans="3:7">
      <c r="C10" t="s">
        <v>60</v>
      </c>
    </row>
    <row r="12" spans="3:7" ht="13.5">
      <c r="C12" s="26" t="s">
        <v>62</v>
      </c>
      <c r="D12" s="149" t="s">
        <v>197</v>
      </c>
    </row>
    <row r="13" spans="3:7" ht="13.5">
      <c r="C13" s="26" t="s">
        <v>63</v>
      </c>
      <c r="D13" s="149" t="s">
        <v>198</v>
      </c>
      <c r="F13" s="1"/>
    </row>
    <row r="15" spans="3:7">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c r="C19" s="26"/>
    </row>
    <row r="20" spans="1:31" ht="13.5">
      <c r="C20" t="s">
        <v>81</v>
      </c>
      <c r="G20" t="s">
        <v>82</v>
      </c>
      <c r="H20" s="132" t="str">
        <f>'General inputs'!I16</f>
        <v>2022-23</v>
      </c>
      <c r="J20" t="s">
        <v>83</v>
      </c>
      <c r="K20" s="133" t="str">
        <f>LEFT(H20,4)+'General inputs'!$H$38-1&amp;"-"&amp;RIGHT(H20,2)+'General inputs'!$H$38-1</f>
        <v>2051-52</v>
      </c>
    </row>
    <row r="21" spans="1:31">
      <c r="C21" s="26"/>
    </row>
    <row r="22" spans="1:31">
      <c r="C22" s="65" t="s">
        <v>130</v>
      </c>
    </row>
    <row r="23" spans="1:31">
      <c r="C23" s="65"/>
      <c r="D23" s="65" t="s">
        <v>131</v>
      </c>
    </row>
    <row r="24" spans="1:31">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c r="C25" s="65"/>
      <c r="D25" s="65" t="s">
        <v>246</v>
      </c>
    </row>
    <row r="26" spans="1:31">
      <c r="C26" s="65"/>
      <c r="D26" s="157" t="s">
        <v>248</v>
      </c>
    </row>
    <row r="27" spans="1:31">
      <c r="C27" s="65"/>
      <c r="D27" s="157" t="s">
        <v>247</v>
      </c>
    </row>
    <row r="28" spans="1:31">
      <c r="C28" s="65"/>
      <c r="D28" s="65" t="s">
        <v>249</v>
      </c>
    </row>
    <row r="29" spans="1:31">
      <c r="C29" s="65"/>
      <c r="D29" s="157" t="s">
        <v>250</v>
      </c>
    </row>
    <row r="30" spans="1:31">
      <c r="C30" s="65"/>
      <c r="D30" s="157" t="s">
        <v>251</v>
      </c>
    </row>
    <row r="32" spans="1:31">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4:10">
      <c r="D34" t="s">
        <v>275</v>
      </c>
    </row>
    <row r="37" spans="4:10" ht="36" customHeight="1">
      <c r="D37" s="242"/>
      <c r="E37" s="242"/>
      <c r="F37" s="243" t="s">
        <v>407</v>
      </c>
      <c r="H37" s="261" t="s">
        <v>408</v>
      </c>
      <c r="I37" s="261"/>
      <c r="J37" s="261"/>
    </row>
    <row r="38" spans="4:10" ht="46">
      <c r="D38" s="242"/>
      <c r="E38" s="242"/>
      <c r="F38" s="244" t="s">
        <v>409</v>
      </c>
      <c r="G38" s="245"/>
      <c r="H38" s="244" t="s">
        <v>410</v>
      </c>
      <c r="I38" s="244" t="s">
        <v>432</v>
      </c>
      <c r="J38" s="244" t="s">
        <v>433</v>
      </c>
    </row>
    <row r="39" spans="4:10" ht="12.5">
      <c r="E39" s="246"/>
      <c r="F39" s="246"/>
      <c r="G39" s="246"/>
      <c r="H39" s="247"/>
      <c r="I39" s="247"/>
      <c r="J39" s="247"/>
    </row>
    <row r="40" spans="4:10">
      <c r="D40" t="s">
        <v>44</v>
      </c>
      <c r="F40" s="248">
        <v>478.56999999999994</v>
      </c>
      <c r="G40" s="249"/>
      <c r="H40" s="248">
        <v>204.69</v>
      </c>
      <c r="I40" s="250">
        <v>5.83</v>
      </c>
      <c r="J40" s="248">
        <v>368.36225939102758</v>
      </c>
    </row>
    <row r="41" spans="4:10">
      <c r="D41" t="s">
        <v>45</v>
      </c>
      <c r="F41" s="248">
        <v>484</v>
      </c>
      <c r="G41" s="249"/>
      <c r="H41" s="248">
        <v>193.54</v>
      </c>
      <c r="I41" s="250">
        <v>8.17</v>
      </c>
      <c r="J41" s="248">
        <v>345.38418155877264</v>
      </c>
    </row>
    <row r="42" spans="4:10">
      <c r="D42" t="s">
        <v>46</v>
      </c>
      <c r="F42" s="248">
        <v>484</v>
      </c>
      <c r="G42" s="249"/>
      <c r="H42" s="248">
        <v>195.15</v>
      </c>
      <c r="I42" s="250">
        <v>5.39</v>
      </c>
      <c r="J42" s="248">
        <v>346.60660364563068</v>
      </c>
    </row>
    <row r="43" spans="4:10">
      <c r="D43" t="s">
        <v>47</v>
      </c>
      <c r="F43" s="248">
        <v>484</v>
      </c>
      <c r="G43" s="250"/>
      <c r="H43" s="248">
        <v>191.44</v>
      </c>
      <c r="I43" s="250">
        <v>13.85</v>
      </c>
      <c r="J43" s="248">
        <v>359.84274023143558</v>
      </c>
    </row>
    <row r="44" spans="4:10">
      <c r="D44" t="s">
        <v>48</v>
      </c>
      <c r="F44" s="248">
        <v>484</v>
      </c>
      <c r="G44" s="250"/>
      <c r="H44" s="248">
        <v>190.48</v>
      </c>
      <c r="I44" s="250">
        <v>14.82</v>
      </c>
      <c r="J44" s="248">
        <v>332.61526672296577</v>
      </c>
    </row>
    <row r="45" spans="4:10">
      <c r="D45" t="s">
        <v>49</v>
      </c>
      <c r="F45" s="248">
        <v>484</v>
      </c>
      <c r="G45" s="250"/>
      <c r="H45" s="248">
        <v>187.92</v>
      </c>
      <c r="I45" s="250">
        <v>28.43</v>
      </c>
      <c r="J45" s="248">
        <v>332.69922598577261</v>
      </c>
    </row>
    <row r="46" spans="4:10">
      <c r="D46" t="s">
        <v>50</v>
      </c>
      <c r="F46" s="248">
        <v>484</v>
      </c>
      <c r="G46" s="250"/>
      <c r="H46" s="248">
        <v>187.92</v>
      </c>
      <c r="I46" s="250">
        <v>26.69</v>
      </c>
      <c r="J46" s="248">
        <v>332.69922598577261</v>
      </c>
    </row>
    <row r="47" spans="4:10">
      <c r="D47" t="s">
        <v>51</v>
      </c>
      <c r="F47" s="248">
        <v>484</v>
      </c>
      <c r="G47" s="250"/>
      <c r="H47" s="248">
        <v>187.92</v>
      </c>
      <c r="I47" s="250">
        <v>28.27</v>
      </c>
      <c r="J47" s="248">
        <v>332.69922598577261</v>
      </c>
    </row>
    <row r="48" spans="4:10">
      <c r="D48" t="s">
        <v>52</v>
      </c>
      <c r="F48" s="248">
        <v>484</v>
      </c>
      <c r="G48" s="250"/>
      <c r="H48" s="248">
        <v>187.92</v>
      </c>
      <c r="I48" s="250">
        <v>27.83</v>
      </c>
      <c r="J48" s="248">
        <v>332.69922598577261</v>
      </c>
    </row>
    <row r="49" spans="4:10">
      <c r="D49" t="s">
        <v>411</v>
      </c>
      <c r="F49" s="248">
        <v>484</v>
      </c>
      <c r="G49" s="250"/>
      <c r="H49" s="248">
        <v>187.92</v>
      </c>
      <c r="I49" s="250">
        <v>27.48</v>
      </c>
      <c r="J49" s="248">
        <v>332.69922598577261</v>
      </c>
    </row>
    <row r="50" spans="4:10">
      <c r="D50" t="s">
        <v>412</v>
      </c>
      <c r="F50" s="248">
        <v>484</v>
      </c>
      <c r="G50" s="250"/>
      <c r="H50" s="248">
        <v>187.92</v>
      </c>
      <c r="I50" s="250">
        <v>26.87</v>
      </c>
      <c r="J50" s="248">
        <v>332.69922598577261</v>
      </c>
    </row>
    <row r="51" spans="4:10">
      <c r="D51" t="s">
        <v>413</v>
      </c>
      <c r="F51" s="248">
        <v>484</v>
      </c>
      <c r="G51" s="250"/>
      <c r="H51" s="248">
        <v>187.92</v>
      </c>
      <c r="I51" s="250">
        <v>26.52</v>
      </c>
      <c r="J51" s="248">
        <v>332.69922598577261</v>
      </c>
    </row>
    <row r="52" spans="4:10">
      <c r="D52" t="s">
        <v>414</v>
      </c>
      <c r="F52" s="248">
        <v>484</v>
      </c>
      <c r="G52" s="250"/>
      <c r="H52" s="248">
        <v>187.92</v>
      </c>
      <c r="I52" s="250">
        <v>26.18</v>
      </c>
      <c r="J52" s="248">
        <v>332.69922598577261</v>
      </c>
    </row>
    <row r="53" spans="4:10">
      <c r="D53" t="s">
        <v>415</v>
      </c>
      <c r="F53" s="248">
        <v>484</v>
      </c>
      <c r="G53" s="250"/>
      <c r="H53" s="248">
        <v>187.92</v>
      </c>
      <c r="I53" s="250">
        <v>25.59</v>
      </c>
      <c r="J53" s="248">
        <v>332.69922598577261</v>
      </c>
    </row>
    <row r="54" spans="4:10">
      <c r="D54" t="s">
        <v>416</v>
      </c>
      <c r="F54" s="248">
        <v>484</v>
      </c>
      <c r="G54" s="250"/>
      <c r="H54" s="248">
        <v>187.92</v>
      </c>
      <c r="I54" s="250">
        <v>25.25</v>
      </c>
      <c r="J54" s="248">
        <v>332.69922598577261</v>
      </c>
    </row>
    <row r="55" spans="4:10">
      <c r="D55" t="s">
        <v>417</v>
      </c>
      <c r="F55" s="248">
        <v>484</v>
      </c>
      <c r="G55" s="250"/>
      <c r="H55" s="248">
        <v>187.92</v>
      </c>
      <c r="I55" s="250">
        <v>24.92</v>
      </c>
      <c r="J55" s="248">
        <v>332.69922598577261</v>
      </c>
    </row>
    <row r="56" spans="4:10">
      <c r="D56" t="s">
        <v>418</v>
      </c>
      <c r="F56" s="248">
        <v>484</v>
      </c>
      <c r="G56" s="250"/>
      <c r="H56" s="248">
        <v>187.92</v>
      </c>
      <c r="I56" s="250">
        <v>23.62</v>
      </c>
      <c r="J56" s="248">
        <v>332.69922598577261</v>
      </c>
    </row>
    <row r="57" spans="4:10">
      <c r="D57" t="s">
        <v>419</v>
      </c>
      <c r="F57" s="248">
        <v>484</v>
      </c>
      <c r="G57" s="250"/>
      <c r="H57" s="248">
        <v>187.92</v>
      </c>
      <c r="I57" s="250">
        <v>23.31</v>
      </c>
      <c r="J57" s="248">
        <v>332.69922598577261</v>
      </c>
    </row>
    <row r="58" spans="4:10">
      <c r="D58" t="s">
        <v>420</v>
      </c>
      <c r="F58" s="248">
        <v>484</v>
      </c>
      <c r="G58" s="250"/>
      <c r="H58" s="248">
        <v>187.92</v>
      </c>
      <c r="I58" s="250">
        <v>22.99</v>
      </c>
      <c r="J58" s="248">
        <v>332.69922598577261</v>
      </c>
    </row>
    <row r="59" spans="4:10">
      <c r="D59" t="s">
        <v>421</v>
      </c>
      <c r="F59" s="248">
        <v>484</v>
      </c>
      <c r="G59" s="250"/>
      <c r="H59" s="248">
        <v>187.92</v>
      </c>
      <c r="I59" s="250">
        <v>22.68</v>
      </c>
      <c r="J59" s="248">
        <v>332.69922598577261</v>
      </c>
    </row>
    <row r="60" spans="4:10">
      <c r="D60" t="s">
        <v>422</v>
      </c>
      <c r="F60" s="248">
        <v>484</v>
      </c>
      <c r="G60" s="250"/>
      <c r="H60" s="248">
        <v>187.92</v>
      </c>
      <c r="I60" s="250">
        <v>22.38</v>
      </c>
      <c r="J60" s="248">
        <v>332.69922598577261</v>
      </c>
    </row>
    <row r="61" spans="4:10">
      <c r="D61" t="s">
        <v>423</v>
      </c>
      <c r="F61" s="248">
        <v>484</v>
      </c>
      <c r="G61" s="250"/>
      <c r="H61" s="248">
        <v>187.92</v>
      </c>
      <c r="I61" s="250">
        <v>22.07</v>
      </c>
      <c r="J61" s="248">
        <v>332.69922598577261</v>
      </c>
    </row>
    <row r="62" spans="4:10">
      <c r="D62" t="s">
        <v>424</v>
      </c>
      <c r="F62" s="248">
        <v>484</v>
      </c>
      <c r="G62" s="250"/>
      <c r="H62" s="248">
        <v>187.92</v>
      </c>
      <c r="I62" s="250">
        <v>21.77</v>
      </c>
      <c r="J62" s="248">
        <v>332.69922598577261</v>
      </c>
    </row>
    <row r="63" spans="4:10">
      <c r="D63" t="s">
        <v>425</v>
      </c>
      <c r="F63" s="248">
        <v>484</v>
      </c>
      <c r="G63" s="250"/>
      <c r="H63" s="248">
        <v>187.92</v>
      </c>
      <c r="I63" s="250">
        <v>34.700000000000003</v>
      </c>
      <c r="J63" s="248">
        <v>332.69922598577261</v>
      </c>
    </row>
    <row r="64" spans="4:10">
      <c r="D64" t="s">
        <v>426</v>
      </c>
      <c r="F64" s="248">
        <v>484</v>
      </c>
      <c r="G64" s="250"/>
      <c r="H64" s="248">
        <v>187.92</v>
      </c>
      <c r="I64" s="250">
        <v>34.22</v>
      </c>
      <c r="J64" s="248">
        <v>332.69922598577261</v>
      </c>
    </row>
    <row r="65" spans="4:10">
      <c r="D65" t="s">
        <v>427</v>
      </c>
      <c r="F65" s="248">
        <v>484</v>
      </c>
      <c r="G65" s="250"/>
      <c r="H65" s="248">
        <v>187.92</v>
      </c>
      <c r="I65" s="250">
        <v>33.74</v>
      </c>
      <c r="J65" s="248">
        <v>332.69922598577261</v>
      </c>
    </row>
    <row r="66" spans="4:10">
      <c r="D66" t="s">
        <v>428</v>
      </c>
      <c r="F66" s="248">
        <v>484</v>
      </c>
      <c r="G66" s="250"/>
      <c r="H66" s="248">
        <v>187.92</v>
      </c>
      <c r="I66" s="250">
        <v>33.270000000000003</v>
      </c>
      <c r="J66" s="248">
        <v>332.69922598577261</v>
      </c>
    </row>
    <row r="67" spans="4:10">
      <c r="D67" t="s">
        <v>429</v>
      </c>
      <c r="F67" s="248">
        <v>484</v>
      </c>
      <c r="G67" s="250"/>
      <c r="H67" s="248">
        <v>187.92</v>
      </c>
      <c r="I67" s="250">
        <v>32.799999999999997</v>
      </c>
      <c r="J67" s="248">
        <v>332.69922598577261</v>
      </c>
    </row>
    <row r="68" spans="4:10">
      <c r="D68" t="s">
        <v>430</v>
      </c>
      <c r="F68" s="248">
        <v>484</v>
      </c>
      <c r="G68" s="250"/>
      <c r="H68" s="248">
        <v>187.92</v>
      </c>
      <c r="I68" s="250">
        <v>32.33</v>
      </c>
      <c r="J68" s="248">
        <v>332.69922598577261</v>
      </c>
    </row>
    <row r="69" spans="4:10">
      <c r="D69" t="s">
        <v>431</v>
      </c>
      <c r="F69" s="248">
        <v>484</v>
      </c>
      <c r="G69" s="251"/>
      <c r="H69" s="248">
        <v>187.92</v>
      </c>
      <c r="I69" s="250">
        <v>31.87</v>
      </c>
      <c r="J69" s="248">
        <v>332.69922598577261</v>
      </c>
    </row>
  </sheetData>
  <mergeCells count="1">
    <mergeCell ref="H37:J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cols>
    <col min="1" max="2" width="2.69921875" customWidth="1"/>
    <col min="13" max="13" width="9.09765625" customWidth="1"/>
    <col min="16" max="16" width="9.09765625" customWidth="1"/>
  </cols>
  <sheetData>
    <row r="3" spans="1:30" ht="20">
      <c r="C3" s="99" t="s">
        <v>109</v>
      </c>
      <c r="M3" s="101"/>
    </row>
    <row r="6" spans="1:30">
      <c r="C6" t="s">
        <v>194</v>
      </c>
      <c r="G6" s="155" t="s">
        <v>268</v>
      </c>
    </row>
    <row r="8" spans="1:30">
      <c r="C8" t="s">
        <v>204</v>
      </c>
    </row>
    <row r="10" spans="1:30">
      <c r="C10" t="s">
        <v>167</v>
      </c>
      <c r="J10" s="133" t="str">
        <f>ADDRESS(ROW('MP Calculations'!$F$22),COLUMN('MP Calculations'!$F$22))</f>
        <v>$F$22</v>
      </c>
      <c r="K10" t="str">
        <f ca="1">"on the "&amp;MID(CELL("filename",'MP Calculations'!$A$1),FIND("]",CELL("filename",'MP Calculations'!$A$1))+1,255)&amp;" worksheet."</f>
        <v>on the MP Calculations worksheet.</v>
      </c>
    </row>
    <row r="12" spans="1:30">
      <c r="C12" s="66" t="s">
        <v>76</v>
      </c>
    </row>
    <row r="13" spans="1:30">
      <c r="D13" s="150" t="s">
        <v>188</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cols>
    <col min="1" max="2" width="2.69921875" customWidth="1"/>
    <col min="13" max="13" width="9.09765625" customWidth="1"/>
    <col min="16" max="16" width="9.09765625" customWidth="1"/>
  </cols>
  <sheetData>
    <row r="3" spans="1:30" ht="20">
      <c r="C3" s="99" t="s">
        <v>216</v>
      </c>
      <c r="M3" s="101"/>
    </row>
    <row r="6" spans="1:30">
      <c r="C6" t="s">
        <v>194</v>
      </c>
      <c r="G6" s="155" t="s">
        <v>233</v>
      </c>
    </row>
    <row r="8" spans="1:30">
      <c r="C8" t="s">
        <v>217</v>
      </c>
    </row>
    <row r="10" spans="1:30">
      <c r="C10" t="s">
        <v>167</v>
      </c>
      <c r="J10" s="133" t="str">
        <f>ADDRESS(ROW('MP Calculations'!$G$22),COLUMN('MP Calculations'!$G$22))</f>
        <v>$G$22</v>
      </c>
      <c r="K10" t="str">
        <f ca="1">"on the "&amp;MID(CELL("filename",'MP Calculations'!$A$1),FIND("]",CELL("filename",'MP Calculations'!$A$1))+1,255)&amp;" worksheet."</f>
        <v>on the MP Calculations worksheet.</v>
      </c>
    </row>
    <row r="12" spans="1:30">
      <c r="C12" s="66" t="s">
        <v>76</v>
      </c>
    </row>
    <row r="13" spans="1:30">
      <c r="D13" s="65" t="s">
        <v>234</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cols>
    <col min="1" max="2" width="2.69921875" customWidth="1"/>
    <col min="3" max="3" width="5.69921875" customWidth="1"/>
  </cols>
  <sheetData>
    <row r="3" spans="3:7" ht="20">
      <c r="C3" s="50" t="s">
        <v>176</v>
      </c>
    </row>
    <row r="6" spans="3:7">
      <c r="C6" t="s">
        <v>194</v>
      </c>
      <c r="G6" s="155" t="s">
        <v>268</v>
      </c>
    </row>
    <row r="8" spans="3:7">
      <c r="C8" s="6" t="s">
        <v>177</v>
      </c>
      <c r="G8" s="101"/>
    </row>
    <row r="10" spans="3:7">
      <c r="C10" t="s">
        <v>178</v>
      </c>
      <c r="D10" t="s">
        <v>179</v>
      </c>
    </row>
    <row r="12" spans="3:7">
      <c r="C12" t="s">
        <v>180</v>
      </c>
      <c r="D12" t="s">
        <v>181</v>
      </c>
    </row>
    <row r="14" spans="3:7">
      <c r="C14" t="s">
        <v>182</v>
      </c>
      <c r="D14" t="s">
        <v>183</v>
      </c>
    </row>
    <row r="16" spans="3:7">
      <c r="C16" t="s">
        <v>184</v>
      </c>
      <c r="D16" t="s">
        <v>252</v>
      </c>
    </row>
    <row r="18" spans="3:4">
      <c r="C18" t="s">
        <v>185</v>
      </c>
      <c r="D18" t="s">
        <v>261</v>
      </c>
    </row>
    <row r="20" spans="3:4">
      <c r="C20" t="s">
        <v>186</v>
      </c>
      <c r="D20" t="s">
        <v>253</v>
      </c>
    </row>
    <row r="22" spans="3:4">
      <c r="D22" t="s">
        <v>61</v>
      </c>
    </row>
    <row r="24" spans="3:4">
      <c r="C24" s="6" t="s">
        <v>254</v>
      </c>
    </row>
    <row r="26" spans="3:4">
      <c r="C26" t="s">
        <v>262</v>
      </c>
    </row>
    <row r="28" spans="3:4">
      <c r="C28" t="s">
        <v>255</v>
      </c>
      <c r="D28" t="s">
        <v>256</v>
      </c>
    </row>
    <row r="30" spans="3:4">
      <c r="C30" t="s">
        <v>257</v>
      </c>
      <c r="D30" t="s">
        <v>258</v>
      </c>
    </row>
    <row r="32" spans="3:4">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2023-08-17T06:21:51Z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