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9230" windowHeight="10260" firstSheet="1" activeTab="1"/>
  </bookViews>
  <sheets>
    <sheet name="Examples" sheetId="4" state="hidden" r:id="rId1"/>
    <sheet name="AGL residential gas customer" sheetId="2" r:id="rId2"/>
  </sheets>
  <calcPr calcId="145621"/>
</workbook>
</file>

<file path=xl/calcChain.xml><?xml version="1.0" encoding="utf-8"?>
<calcChain xmlns="http://schemas.openxmlformats.org/spreadsheetml/2006/main">
  <c r="AA40" i="2" l="1"/>
  <c r="AA22" i="2"/>
  <c r="AA20" i="2"/>
  <c r="AA38" i="2"/>
  <c r="Z38" i="2"/>
  <c r="Z20" i="2"/>
  <c r="Z39" i="2" l="1"/>
  <c r="Z40" i="2"/>
  <c r="AA14" i="2"/>
  <c r="AA33" i="2" s="1"/>
  <c r="AA26" i="2"/>
  <c r="AA27" i="2"/>
  <c r="AA28" i="2" s="1"/>
  <c r="AA34" i="2" s="1"/>
  <c r="AA36" i="2"/>
  <c r="Z14" i="2"/>
  <c r="AA29" i="2" l="1"/>
  <c r="AA35" i="2" s="1"/>
  <c r="AA37" i="2" s="1"/>
  <c r="AA39" i="2" s="1"/>
  <c r="Z33" i="2"/>
  <c r="Z34" i="2"/>
  <c r="Z37" i="2" s="1"/>
  <c r="Z35" i="2"/>
  <c r="Z36" i="2"/>
  <c r="Y33" i="2"/>
  <c r="Z31" i="2"/>
  <c r="Z26" i="2"/>
  <c r="Z27" i="2"/>
  <c r="Z28" i="2"/>
  <c r="Z29" i="2"/>
  <c r="Z22" i="2"/>
  <c r="Y22" i="2"/>
  <c r="Y20" i="2"/>
  <c r="Y14" i="2"/>
  <c r="AA31" i="2" l="1"/>
  <c r="C39" i="2"/>
  <c r="Y36" i="2"/>
  <c r="X36" i="2"/>
  <c r="W36" i="2"/>
  <c r="V36" i="2"/>
  <c r="U36" i="2"/>
  <c r="T36" i="2"/>
  <c r="S36" i="2"/>
  <c r="R36" i="2"/>
  <c r="Q36" i="2"/>
  <c r="P36" i="2"/>
  <c r="O36" i="2"/>
  <c r="N36" i="2"/>
  <c r="M36" i="2"/>
  <c r="L36" i="2"/>
  <c r="K36" i="2"/>
  <c r="J36" i="2"/>
  <c r="I36" i="2"/>
  <c r="P35" i="2"/>
  <c r="O35" i="2"/>
  <c r="N35" i="2"/>
  <c r="M35" i="2"/>
  <c r="L35" i="2"/>
  <c r="K35" i="2"/>
  <c r="J35" i="2"/>
  <c r="I35" i="2"/>
  <c r="V33" i="2"/>
  <c r="T33" i="2"/>
  <c r="S33" i="2"/>
  <c r="R33" i="2"/>
  <c r="P33" i="2"/>
  <c r="N33" i="2"/>
  <c r="M33" i="2"/>
  <c r="L33" i="2"/>
  <c r="K33" i="2"/>
  <c r="H33" i="2"/>
  <c r="G33" i="2"/>
  <c r="F33" i="2"/>
  <c r="E33" i="2"/>
  <c r="E27" i="2"/>
  <c r="E26" i="2"/>
  <c r="F26" i="2" s="1"/>
  <c r="H23" i="2"/>
  <c r="F23" i="2"/>
  <c r="E22" i="2"/>
  <c r="U21" i="2"/>
  <c r="Q21" i="2"/>
  <c r="H21" i="2"/>
  <c r="F21" i="2"/>
  <c r="X20" i="2"/>
  <c r="X22" i="2" s="1"/>
  <c r="F20" i="2"/>
  <c r="F22" i="2" s="1"/>
  <c r="U19" i="2"/>
  <c r="Q19" i="2"/>
  <c r="O19" i="2"/>
  <c r="M19" i="2"/>
  <c r="J19" i="2"/>
  <c r="I19" i="2"/>
  <c r="H19" i="2"/>
  <c r="G19" i="2"/>
  <c r="G21" i="2" s="1"/>
  <c r="C19" i="2"/>
  <c r="C21" i="2" s="1"/>
  <c r="C23" i="2" s="1"/>
  <c r="C18" i="2"/>
  <c r="X14" i="2"/>
  <c r="X33" i="2" s="1"/>
  <c r="W14" i="2"/>
  <c r="W33" i="2" s="1"/>
  <c r="U14" i="2"/>
  <c r="U33" i="2" s="1"/>
  <c r="Q14" i="2"/>
  <c r="Q33" i="2" s="1"/>
  <c r="O14" i="2"/>
  <c r="O33" i="2" s="1"/>
  <c r="J14" i="2"/>
  <c r="J33" i="2" s="1"/>
  <c r="I14" i="2"/>
  <c r="I33" i="2" s="1"/>
  <c r="I13" i="4"/>
  <c r="I11" i="4"/>
  <c r="I9" i="4"/>
  <c r="H7" i="4"/>
  <c r="G7" i="4"/>
  <c r="G20" i="2" l="1"/>
  <c r="F27" i="2"/>
  <c r="G26" i="2"/>
  <c r="E29" i="2"/>
  <c r="E35" i="2" s="1"/>
  <c r="E28" i="2"/>
  <c r="E30" i="2" l="1"/>
  <c r="E36" i="2" s="1"/>
  <c r="G22" i="2"/>
  <c r="H20" i="2"/>
  <c r="H22" i="2" s="1"/>
  <c r="G27" i="2"/>
  <c r="H26" i="2"/>
  <c r="E34" i="2"/>
  <c r="E37" i="2" s="1"/>
  <c r="E38" i="2" s="1"/>
  <c r="E31" i="2"/>
  <c r="F28" i="2"/>
  <c r="F34" i="2" s="1"/>
  <c r="I26" i="2" l="1"/>
  <c r="H27" i="2"/>
  <c r="F29" i="2"/>
  <c r="F30" i="2" s="1"/>
  <c r="F36" i="2" s="1"/>
  <c r="G28" i="2"/>
  <c r="G34" i="2" s="1"/>
  <c r="G29" i="2" l="1"/>
  <c r="G35" i="2" s="1"/>
  <c r="H28" i="2"/>
  <c r="H34" i="2" s="1"/>
  <c r="I27" i="2"/>
  <c r="J26" i="2"/>
  <c r="G30" i="2"/>
  <c r="G36" i="2" s="1"/>
  <c r="G37" i="2" s="1"/>
  <c r="G38" i="2" s="1"/>
  <c r="F35" i="2"/>
  <c r="F37" i="2" s="1"/>
  <c r="F38" i="2" s="1"/>
  <c r="F31" i="2"/>
  <c r="G39" i="2" l="1"/>
  <c r="G40" i="2" s="1"/>
  <c r="J27" i="2"/>
  <c r="K26" i="2"/>
  <c r="H29" i="2"/>
  <c r="H35" i="2" s="1"/>
  <c r="F39" i="2"/>
  <c r="F40" i="2" s="1"/>
  <c r="I28" i="2"/>
  <c r="I34" i="2" s="1"/>
  <c r="I37" i="2" s="1"/>
  <c r="I38" i="2" s="1"/>
  <c r="G31" i="2"/>
  <c r="H30" i="2" l="1"/>
  <c r="H36" i="2" s="1"/>
  <c r="H37" i="2" s="1"/>
  <c r="H38" i="2" s="1"/>
  <c r="H39" i="2"/>
  <c r="H40" i="2" s="1"/>
  <c r="J28" i="2"/>
  <c r="J34" i="2" s="1"/>
  <c r="J37" i="2" s="1"/>
  <c r="J38" i="2" s="1"/>
  <c r="J31" i="2"/>
  <c r="I39" i="2"/>
  <c r="I40" i="2" s="1"/>
  <c r="H31" i="2"/>
  <c r="I31" i="2"/>
  <c r="K27" i="2"/>
  <c r="L26" i="2"/>
  <c r="J39" i="2" l="1"/>
  <c r="J40" i="2" s="1"/>
  <c r="M26" i="2"/>
  <c r="L27" i="2"/>
  <c r="K28" i="2"/>
  <c r="K34" i="2" s="1"/>
  <c r="K37" i="2" s="1"/>
  <c r="K38" i="2" s="1"/>
  <c r="L28" i="2" l="1"/>
  <c r="L34" i="2" s="1"/>
  <c r="L37" i="2" s="1"/>
  <c r="L38" i="2" s="1"/>
  <c r="M27" i="2"/>
  <c r="N26" i="2"/>
  <c r="K39" i="2"/>
  <c r="K40" i="2" s="1"/>
  <c r="K31" i="2"/>
  <c r="N27" i="2" l="1"/>
  <c r="O26" i="2"/>
  <c r="M28" i="2"/>
  <c r="M34" i="2" s="1"/>
  <c r="M37" i="2" s="1"/>
  <c r="M38" i="2" s="1"/>
  <c r="L39" i="2"/>
  <c r="L40" i="2" s="1"/>
  <c r="L31" i="2"/>
  <c r="M39" i="2" l="1"/>
  <c r="M40" i="2" s="1"/>
  <c r="M31" i="2"/>
  <c r="O27" i="2"/>
  <c r="P26" i="2"/>
  <c r="N28" i="2"/>
  <c r="N34" i="2" s="1"/>
  <c r="N37" i="2" s="1"/>
  <c r="N38" i="2" s="1"/>
  <c r="N31" i="2"/>
  <c r="O28" i="2" l="1"/>
  <c r="O34" i="2" s="1"/>
  <c r="O37" i="2" s="1"/>
  <c r="O38" i="2" s="1"/>
  <c r="N39" i="2"/>
  <c r="N40" i="2" s="1"/>
  <c r="Q26" i="2"/>
  <c r="P27" i="2"/>
  <c r="O31" i="2" l="1"/>
  <c r="P28" i="2"/>
  <c r="P34" i="2" s="1"/>
  <c r="P37" i="2" s="1"/>
  <c r="P38" i="2" s="1"/>
  <c r="Q27" i="2"/>
  <c r="R26" i="2"/>
  <c r="O39" i="2"/>
  <c r="O40" i="2" s="1"/>
  <c r="R27" i="2" l="1"/>
  <c r="S26" i="2"/>
  <c r="Q28" i="2"/>
  <c r="Q34" i="2" s="1"/>
  <c r="P39" i="2"/>
  <c r="P40" i="2" s="1"/>
  <c r="P31" i="2"/>
  <c r="R28" i="2" l="1"/>
  <c r="R34" i="2" s="1"/>
  <c r="R29" i="2"/>
  <c r="R35" i="2" s="1"/>
  <c r="Q29" i="2"/>
  <c r="Q35" i="2" s="1"/>
  <c r="Q37" i="2" s="1"/>
  <c r="Q38" i="2" s="1"/>
  <c r="S27" i="2"/>
  <c r="T26" i="2"/>
  <c r="Q31" i="2" l="1"/>
  <c r="U26" i="2"/>
  <c r="T27" i="2"/>
  <c r="S28" i="2"/>
  <c r="S34" i="2" s="1"/>
  <c r="Q39" i="2"/>
  <c r="Q40" i="2" s="1"/>
  <c r="R31" i="2"/>
  <c r="R37" i="2"/>
  <c r="R38" i="2" s="1"/>
  <c r="T28" i="2" l="1"/>
  <c r="T34" i="2" s="1"/>
  <c r="R39" i="2"/>
  <c r="R40" i="2" s="1"/>
  <c r="S29" i="2"/>
  <c r="U27" i="2"/>
  <c r="V26" i="2"/>
  <c r="U28" i="2" l="1"/>
  <c r="U34" i="2" s="1"/>
  <c r="S35" i="2"/>
  <c r="S37" i="2" s="1"/>
  <c r="S38" i="2" s="1"/>
  <c r="S31" i="2"/>
  <c r="T29" i="2"/>
  <c r="T35" i="2" s="1"/>
  <c r="T37" i="2" s="1"/>
  <c r="T38" i="2" s="1"/>
  <c r="V27" i="2"/>
  <c r="W26" i="2"/>
  <c r="T39" i="2" l="1"/>
  <c r="T31" i="2"/>
  <c r="U37" i="2"/>
  <c r="U38" i="2" s="1"/>
  <c r="W27" i="2"/>
  <c r="X26" i="2"/>
  <c r="V28" i="2"/>
  <c r="V34" i="2" s="1"/>
  <c r="T40" i="2"/>
  <c r="S39" i="2"/>
  <c r="S40" i="2" s="1"/>
  <c r="U29" i="2"/>
  <c r="U35" i="2" s="1"/>
  <c r="U31" i="2" l="1"/>
  <c r="U39" i="2"/>
  <c r="U40" i="2" s="1"/>
  <c r="Y26" i="2"/>
  <c r="Y27" i="2" s="1"/>
  <c r="X27" i="2"/>
  <c r="V29" i="2"/>
  <c r="V35" i="2" s="1"/>
  <c r="V37" i="2" s="1"/>
  <c r="V38" i="2" s="1"/>
  <c r="W28" i="2"/>
  <c r="W34" i="2" s="1"/>
  <c r="V31" i="2" l="1"/>
  <c r="W29" i="2"/>
  <c r="W35" i="2" s="1"/>
  <c r="W37" i="2" s="1"/>
  <c r="W38" i="2" s="1"/>
  <c r="V39" i="2"/>
  <c r="V40" i="2" s="1"/>
  <c r="X28" i="2"/>
  <c r="X34" i="2" s="1"/>
  <c r="Y28" i="2"/>
  <c r="Y34" i="2" s="1"/>
  <c r="Y29" i="2" l="1"/>
  <c r="Y35" i="2" s="1"/>
  <c r="Y37" i="2" s="1"/>
  <c r="Y38" i="2" s="1"/>
  <c r="W31" i="2"/>
  <c r="W39" i="2"/>
  <c r="W40" i="2" s="1"/>
  <c r="X29" i="2"/>
  <c r="X35" i="2" s="1"/>
  <c r="X37" i="2" s="1"/>
  <c r="X38" i="2" s="1"/>
  <c r="Y31" i="2" l="1"/>
  <c r="X39" i="2"/>
  <c r="X40" i="2" s="1"/>
  <c r="X31" i="2"/>
  <c r="Y39" i="2"/>
  <c r="Y40" i="2" s="1"/>
</calcChain>
</file>

<file path=xl/comments1.xml><?xml version="1.0" encoding="utf-8"?>
<comments xmlns="http://schemas.openxmlformats.org/spreadsheetml/2006/main">
  <authors>
    <author>Bee Thompson</author>
    <author>stevent</author>
  </authors>
  <commentList>
    <comment ref="N9" authorId="0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Number from Ruth</t>
        </r>
      </text>
    </comment>
    <comment ref="Q12" authorId="0">
      <text>
        <r>
          <rPr>
            <b/>
            <sz val="11"/>
            <color indexed="81"/>
            <rFont val="Tahoma"/>
            <family val="2"/>
          </rPr>
          <t>Bee Thompson:</t>
        </r>
        <r>
          <rPr>
            <sz val="11"/>
            <color indexed="81"/>
            <rFont val="Tahoma"/>
            <family val="2"/>
          </rPr>
          <t xml:space="preserve">
AGL recommend that households with consumption &gt;15 400MJ pa move to this tariff</t>
        </r>
      </text>
    </comment>
    <comment ref="B14" authorId="1">
      <text>
        <r>
          <rPr>
            <b/>
            <sz val="8"/>
            <color indexed="81"/>
            <rFont val="Tahoma"/>
            <family val="2"/>
          </rPr>
          <t>steve
Source: AGL - NSW Residential Economy Tariffs</t>
        </r>
      </text>
    </comment>
    <comment ref="B15" authorId="1">
      <text>
        <r>
          <rPr>
            <b/>
            <sz val="8"/>
            <color indexed="81"/>
            <rFont val="Tahoma"/>
            <family val="2"/>
          </rPr>
          <t>stevent:</t>
        </r>
        <r>
          <rPr>
            <sz val="8"/>
            <color indexed="81"/>
            <rFont val="Tahoma"/>
            <family val="2"/>
          </rPr>
          <t xml:space="preserve">
Source: AGL - NSW Residential Economy Tariffs</t>
        </r>
      </text>
    </comment>
    <comment ref="X23" authorId="0">
      <text>
        <r>
          <rPr>
            <b/>
            <sz val="9"/>
            <color indexed="81"/>
            <rFont val="Tahoma"/>
            <family val="2"/>
          </rPr>
          <t>Bee Thompson:</t>
        </r>
        <r>
          <rPr>
            <sz val="9"/>
            <color indexed="81"/>
            <rFont val="Tahoma"/>
            <family val="2"/>
          </rPr>
          <t xml:space="preserve">
3rd block, up to 102GJ pa</t>
        </r>
      </text>
    </comment>
    <comment ref="B26" authorId="1">
      <text>
        <r>
          <rPr>
            <b/>
            <sz val="8"/>
            <color indexed="81"/>
            <rFont val="Tahoma"/>
            <family val="2"/>
          </rPr>
          <t>stevent:</t>
        </r>
        <r>
          <rPr>
            <sz val="8"/>
            <color indexed="81"/>
            <rFont val="Tahoma"/>
            <family val="2"/>
          </rPr>
          <t xml:space="preserve">
AGL Annual Report page 9 1999 states av residential consumption is 25.1 GJ/per customer
  </t>
        </r>
      </text>
    </comment>
    <comment ref="B37" authorId="0">
      <text>
        <r>
          <rPr>
            <b/>
            <sz val="8"/>
            <color indexed="81"/>
            <rFont val="Tahoma"/>
            <family val="2"/>
          </rPr>
          <t>Bee Thompson:</t>
        </r>
        <r>
          <rPr>
            <sz val="8"/>
            <color indexed="81"/>
            <rFont val="Tahoma"/>
            <family val="2"/>
          </rPr>
          <t xml:space="preserve">
note change in formula after 1995</t>
        </r>
      </text>
    </comment>
  </commentList>
</comments>
</file>

<file path=xl/sharedStrings.xml><?xml version="1.0" encoding="utf-8"?>
<sst xmlns="http://schemas.openxmlformats.org/spreadsheetml/2006/main" count="125" uniqueCount="101">
  <si>
    <t>IPART COLOUR CODES  FOR MODELS AND INFORMATION REQUESTS</t>
  </si>
  <si>
    <r>
      <t xml:space="preserve">NB </t>
    </r>
    <r>
      <rPr>
        <b/>
        <sz val="10"/>
        <rFont val="Arial"/>
        <family val="2"/>
      </rPr>
      <t xml:space="preserve"> ALWAYS DESCRIBE THE COLOUR CODE USED IN YOUR MODEL </t>
    </r>
  </si>
  <si>
    <t>Note: If you use the formats for the inputs provided in this template, input cells will always be unprotected even when you protect the worksheet</t>
  </si>
  <si>
    <t>use this column cell to "paint" input cells for numbers (NOT for percentages)</t>
  </si>
  <si>
    <t>use this column cell to "paint" input cells for percentages (NOT numbers)</t>
  </si>
  <si>
    <t>Models</t>
  </si>
  <si>
    <t>Option 1 (best for models that will be used repeatedly)</t>
  </si>
  <si>
    <r>
      <t xml:space="preserve">Option 2 </t>
    </r>
    <r>
      <rPr>
        <sz val="10"/>
        <rFont val="Arial"/>
        <family val="2"/>
      </rPr>
      <t>(best for smaller models for once-off and/or own use)</t>
    </r>
  </si>
  <si>
    <t>Inputs</t>
  </si>
  <si>
    <t>Links from other files (green)</t>
  </si>
  <si>
    <t>Error check (check =0)</t>
  </si>
  <si>
    <t>Error warnings, messages and unusual calculation assumptions</t>
  </si>
  <si>
    <t>Indicate change in formula across row with a double red line</t>
  </si>
  <si>
    <t>..change in formula across row with a double red line</t>
  </si>
  <si>
    <t>Key outputs</t>
  </si>
  <si>
    <t>Note: can combine options, eg:</t>
  </si>
  <si>
    <t>Example 1</t>
  </si>
  <si>
    <t>Inputs for model runs</t>
  </si>
  <si>
    <t>AND</t>
  </si>
  <si>
    <t>Hard-coded protected inputs that can't be changed (eg credit ratio and ratings tables)</t>
  </si>
  <si>
    <t>Example 2</t>
  </si>
  <si>
    <t>Inputs can be links to other files in some runs</t>
  </si>
  <si>
    <t xml:space="preserve">Attention can be drawn to different/unusual inputs </t>
  </si>
  <si>
    <t>Information Requests</t>
  </si>
  <si>
    <t>numbers</t>
  </si>
  <si>
    <t>%</t>
  </si>
  <si>
    <t>compulsory inputs (numbers and text)</t>
  </si>
  <si>
    <t>Forecast Inputs</t>
  </si>
  <si>
    <t>Error warnings and messages</t>
  </si>
  <si>
    <t>QA notes - annotation or documenation by QA staff</t>
  </si>
  <si>
    <t>User Instructions - IPART CHARTS</t>
  </si>
  <si>
    <t>Dark blue</t>
  </si>
  <si>
    <t>Lime</t>
  </si>
  <si>
    <t>Red</t>
  </si>
  <si>
    <t>Blue</t>
  </si>
  <si>
    <t>Light gold</t>
  </si>
  <si>
    <t>Green</t>
  </si>
  <si>
    <t>Maroon</t>
  </si>
  <si>
    <t>Light blue</t>
  </si>
  <si>
    <t>Blue solid</t>
  </si>
  <si>
    <t>Lime solid</t>
  </si>
  <si>
    <t xml:space="preserve">Red solid </t>
  </si>
  <si>
    <t>Blue  dashes</t>
  </si>
  <si>
    <t xml:space="preserve">Lime  dashes </t>
  </si>
  <si>
    <t>Red  dashes</t>
  </si>
  <si>
    <t>X value</t>
  </si>
  <si>
    <t>1st Y value</t>
  </si>
  <si>
    <t>2nd Y value</t>
  </si>
  <si>
    <t>Black</t>
  </si>
  <si>
    <t>Red 100%</t>
  </si>
  <si>
    <t>Red 70%</t>
  </si>
  <si>
    <t>Grey 40%</t>
  </si>
  <si>
    <t>1975-76</t>
  </si>
  <si>
    <t>1983-84</t>
  </si>
  <si>
    <t>1988-89</t>
  </si>
  <si>
    <t>1993-94</t>
  </si>
  <si>
    <t>1996-97</t>
  </si>
  <si>
    <t>1997-98</t>
  </si>
  <si>
    <t>1998-99</t>
  </si>
  <si>
    <t>1999-00</t>
  </si>
  <si>
    <r>
      <t>–</t>
    </r>
    <r>
      <rPr>
        <sz val="10"/>
        <rFont val="Arial"/>
        <family val="2"/>
      </rPr>
      <t xml:space="preserve">  en rule for when needed</t>
    </r>
  </si>
  <si>
    <t>GST</t>
  </si>
  <si>
    <t>single regulated tariff from 1 July 2007</t>
  </si>
  <si>
    <t>NSW residential economy tariffs (="Everytime Plus") excluding GST</t>
  </si>
  <si>
    <t>Everytime value</t>
  </si>
  <si>
    <t>increase on 1 April 2008</t>
  </si>
  <si>
    <t xml:space="preserve">Supply fee </t>
  </si>
  <si>
    <t>c/day</t>
  </si>
  <si>
    <t>$/qr</t>
  </si>
  <si>
    <t>Consumption charges</t>
  </si>
  <si>
    <t>c/MJ</t>
  </si>
  <si>
    <t>Consumption first MJ/qr</t>
  </si>
  <si>
    <t>Consumption rest</t>
  </si>
  <si>
    <t>Minimum bill</t>
  </si>
  <si>
    <t>Consumption block 1</t>
  </si>
  <si>
    <t>Block 1 up to</t>
  </si>
  <si>
    <t>MJ/quarter</t>
  </si>
  <si>
    <t>Consumption block 2</t>
  </si>
  <si>
    <t>Block 2 up to</t>
  </si>
  <si>
    <t xml:space="preserve">Average annual consumption </t>
  </si>
  <si>
    <t>MJ</t>
  </si>
  <si>
    <t xml:space="preserve">Average quarterly consumption </t>
  </si>
  <si>
    <t>Quarterly consumption at block 1 prices</t>
  </si>
  <si>
    <t>Quarterly consumption at block 2 prices</t>
  </si>
  <si>
    <t>Quarterly consumption at block 3 prices</t>
  </si>
  <si>
    <t>check = 0</t>
  </si>
  <si>
    <t>Annual service charge</t>
  </si>
  <si>
    <t>Block 1 charge</t>
  </si>
  <si>
    <t>Block 2 charge</t>
  </si>
  <si>
    <t>Block 3 charge</t>
  </si>
  <si>
    <t>Total av annual bill excl GST</t>
  </si>
  <si>
    <t>$</t>
  </si>
  <si>
    <t xml:space="preserve">Table 1 - AGL Gas prices for a typical residential customer </t>
  </si>
  <si>
    <t>Average annual bill including GST</t>
  </si>
  <si>
    <t>% change (nominal)</t>
  </si>
  <si>
    <t>$ change</t>
  </si>
  <si>
    <t>Tariffs (excluding GST)</t>
  </si>
  <si>
    <t>Consumption</t>
  </si>
  <si>
    <t>Everytime value was used for the 2003/04 to 2006/07, because AGL advised it was  cheapest for 20GJ pa.</t>
  </si>
  <si>
    <t>Financial year ending 30 June</t>
  </si>
  <si>
    <t>Bills (excluding GST)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</si>
</sst>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_);_(@_)"/>
    <numFmt numFmtId="165" formatCode="0.0%"/>
    <numFmt numFmtId="166" formatCode="0.000"/>
    <numFmt numFmtId="167" formatCode="_-* #,##0_-;\-* #,##0_-;_-* &quot;-&quot;??_-;_-@_-"/>
  </numFmts>
  <fonts count="32" x14ac:knownFonts="1">
    <font>
      <sz val="9"/>
      <name val="Arial"/>
      <family val="2"/>
    </font>
    <font>
      <sz val="11"/>
      <color theme="1"/>
      <name val="Book Antiqua"/>
      <family val="2"/>
      <scheme val="minor"/>
    </font>
    <font>
      <sz val="9"/>
      <name val="Arial"/>
      <family val="2"/>
    </font>
    <font>
      <sz val="9"/>
      <color indexed="14"/>
      <name val="Arial"/>
      <family val="2"/>
    </font>
    <font>
      <sz val="9"/>
      <color indexed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b/>
      <sz val="9"/>
      <color indexed="9"/>
      <name val="Arial"/>
      <family val="2"/>
    </font>
    <font>
      <b/>
      <sz val="10"/>
      <name val="Arial"/>
      <family val="2"/>
    </font>
    <font>
      <b/>
      <sz val="10"/>
      <color indexed="57"/>
      <name val="Arial"/>
      <family val="2"/>
    </font>
    <font>
      <sz val="10"/>
      <name val="Arial Narrow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b/>
      <sz val="9"/>
      <name val="Arial"/>
      <family val="2"/>
    </font>
    <font>
      <b/>
      <sz val="10"/>
      <color indexed="12"/>
      <name val="Arial"/>
      <family val="2"/>
    </font>
    <font>
      <b/>
      <sz val="9"/>
      <color indexed="57"/>
      <name val="Arial"/>
      <family val="2"/>
    </font>
    <font>
      <b/>
      <sz val="9"/>
      <color indexed="10"/>
      <name val="Arial"/>
      <family val="2"/>
    </font>
    <font>
      <b/>
      <sz val="9"/>
      <color indexed="12"/>
      <name val="Arial"/>
      <family val="2"/>
    </font>
    <font>
      <u/>
      <sz val="9"/>
      <name val="Arial"/>
      <family val="2"/>
    </font>
    <font>
      <sz val="9"/>
      <color indexed="12"/>
      <name val="Arial"/>
      <family val="2"/>
    </font>
    <font>
      <sz val="8"/>
      <color indexed="14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lightGray">
        <fgColor indexed="13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15"/>
      </patternFill>
    </fill>
  </fills>
  <borders count="27">
    <border>
      <left/>
      <right/>
      <top/>
      <bottom/>
      <diagonal/>
    </border>
    <border>
      <left/>
      <right style="double">
        <color theme="6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double">
        <color indexed="10"/>
      </right>
      <top/>
      <bottom style="hair">
        <color indexed="64"/>
      </bottom>
      <diagonal/>
    </border>
    <border>
      <left style="double">
        <color indexed="10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10"/>
      </right>
      <top/>
      <bottom/>
      <diagonal/>
    </border>
  </borders>
  <cellStyleXfs count="21">
    <xf numFmtId="0" fontId="0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1"/>
    <xf numFmtId="164" fontId="3" fillId="0" borderId="0">
      <alignment horizontal="left"/>
    </xf>
    <xf numFmtId="0" fontId="4" fillId="0" borderId="0"/>
    <xf numFmtId="41" fontId="2" fillId="2" borderId="0">
      <alignment horizontal="left"/>
      <protection locked="0"/>
    </xf>
    <xf numFmtId="165" fontId="2" fillId="2" borderId="0">
      <alignment horizontal="right"/>
      <protection locked="0"/>
    </xf>
    <xf numFmtId="0" fontId="5" fillId="0" borderId="0" applyNumberFormat="0" applyFill="0" applyBorder="0" applyAlignment="0"/>
    <xf numFmtId="0" fontId="6" fillId="0" borderId="0" applyNumberFormat="0" applyFill="0" applyBorder="0" applyAlignment="0"/>
    <xf numFmtId="0" fontId="7" fillId="0" borderId="2" applyNumberFormat="0" applyFill="0" applyBorder="0" applyAlignment="0"/>
    <xf numFmtId="41" fontId="8" fillId="3" borderId="3" applyNumberFormat="0" applyFont="0" applyBorder="0" applyAlignment="0">
      <alignment horizontal="right"/>
      <protection locked="0"/>
    </xf>
    <xf numFmtId="165" fontId="8" fillId="3" borderId="0" applyFont="0" applyBorder="0" applyAlignment="0">
      <protection locked="0"/>
    </xf>
    <xf numFmtId="41" fontId="2" fillId="4" borderId="0" applyBorder="0" applyAlignment="0">
      <alignment horizontal="right"/>
      <protection locked="0"/>
    </xf>
    <xf numFmtId="10" fontId="2" fillId="4" borderId="0" applyBorder="0">
      <alignment horizontal="right"/>
      <protection locked="0"/>
    </xf>
    <xf numFmtId="3" fontId="9" fillId="0" borderId="0">
      <protection locked="0"/>
    </xf>
    <xf numFmtId="165" fontId="9" fillId="0" borderId="0">
      <protection locked="0"/>
    </xf>
    <xf numFmtId="41" fontId="10" fillId="5" borderId="0"/>
    <xf numFmtId="41" fontId="11" fillId="0" borderId="4" applyBorder="0" applyProtection="0"/>
    <xf numFmtId="0" fontId="12" fillId="0" borderId="0"/>
    <xf numFmtId="0" fontId="10" fillId="6" borderId="0" applyNumberFormat="0" applyAlignment="0"/>
  </cellStyleXfs>
  <cellXfs count="175">
    <xf numFmtId="0" fontId="0" fillId="0" borderId="0" xfId="0"/>
    <xf numFmtId="0" fontId="5" fillId="0" borderId="0" xfId="8"/>
    <xf numFmtId="0" fontId="2" fillId="7" borderId="0" xfId="0" applyFont="1" applyFill="1" applyAlignment="1">
      <alignment wrapText="1"/>
    </xf>
    <xf numFmtId="0" fontId="6" fillId="0" borderId="0" xfId="0" applyFont="1" applyAlignment="1"/>
    <xf numFmtId="0" fontId="13" fillId="0" borderId="0" xfId="0" applyFont="1"/>
    <xf numFmtId="0" fontId="14" fillId="0" borderId="0" xfId="0" applyFont="1"/>
    <xf numFmtId="0" fontId="8" fillId="7" borderId="0" xfId="0" applyFont="1" applyFill="1" applyAlignment="1">
      <alignment wrapText="1"/>
    </xf>
    <xf numFmtId="0" fontId="15" fillId="0" borderId="0" xfId="0" applyFont="1"/>
    <xf numFmtId="0" fontId="16" fillId="0" borderId="0" xfId="0" applyFont="1"/>
    <xf numFmtId="0" fontId="11" fillId="0" borderId="0" xfId="0" applyFont="1"/>
    <xf numFmtId="0" fontId="8" fillId="0" borderId="0" xfId="0" applyFont="1"/>
    <xf numFmtId="0" fontId="6" fillId="0" borderId="0" xfId="9"/>
    <xf numFmtId="0" fontId="6" fillId="0" borderId="0" xfId="0" applyFont="1"/>
    <xf numFmtId="0" fontId="7" fillId="0" borderId="2" xfId="10" applyBorder="1"/>
    <xf numFmtId="0" fontId="7" fillId="0" borderId="5" xfId="0" applyFont="1" applyBorder="1"/>
    <xf numFmtId="0" fontId="2" fillId="7" borderId="5" xfId="0" applyFont="1" applyFill="1" applyBorder="1" applyAlignment="1">
      <alignment wrapText="1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7" fillId="0" borderId="2" xfId="0" applyFont="1" applyBorder="1"/>
    <xf numFmtId="0" fontId="0" fillId="0" borderId="5" xfId="0" applyBorder="1"/>
    <xf numFmtId="0" fontId="2" fillId="7" borderId="6" xfId="0" applyFont="1" applyFill="1" applyBorder="1" applyAlignment="1">
      <alignment wrapText="1"/>
    </xf>
    <xf numFmtId="41" fontId="11" fillId="0" borderId="0" xfId="18" applyBorder="1"/>
    <xf numFmtId="41" fontId="17" fillId="4" borderId="7" xfId="13" applyFont="1" applyBorder="1" applyAlignment="1">
      <alignment horizontal="left"/>
      <protection locked="0"/>
    </xf>
    <xf numFmtId="0" fontId="12" fillId="0" borderId="0" xfId="0" applyFont="1" applyBorder="1"/>
    <xf numFmtId="0" fontId="2" fillId="7" borderId="0" xfId="0" applyFont="1" applyFill="1" applyBorder="1" applyAlignment="1">
      <alignment wrapText="1"/>
    </xf>
    <xf numFmtId="41" fontId="2" fillId="4" borderId="0" xfId="13" applyFont="1" applyBorder="1" applyAlignment="1">
      <alignment horizontal="left"/>
      <protection locked="0"/>
    </xf>
    <xf numFmtId="165" fontId="2" fillId="4" borderId="8" xfId="14" applyNumberFormat="1" applyFont="1" applyBorder="1">
      <alignment horizontal="right"/>
      <protection locked="0"/>
    </xf>
    <xf numFmtId="0" fontId="18" fillId="0" borderId="7" xfId="0" applyFont="1" applyBorder="1" applyProtection="1">
      <protection locked="0"/>
    </xf>
    <xf numFmtId="3" fontId="9" fillId="0" borderId="0" xfId="0" applyNumberFormat="1" applyFont="1" applyBorder="1" applyProtection="1">
      <protection locked="0"/>
    </xf>
    <xf numFmtId="165" fontId="9" fillId="0" borderId="0" xfId="0" applyNumberFormat="1" applyFont="1" applyBorder="1" applyProtection="1">
      <protection locked="0"/>
    </xf>
    <xf numFmtId="0" fontId="0" fillId="0" borderId="0" xfId="0" applyBorder="1"/>
    <xf numFmtId="0" fontId="2" fillId="7" borderId="8" xfId="0" applyFont="1" applyFill="1" applyBorder="1" applyAlignment="1">
      <alignment wrapText="1"/>
    </xf>
    <xf numFmtId="0" fontId="12" fillId="0" borderId="7" xfId="19" applyBorder="1"/>
    <xf numFmtId="0" fontId="12" fillId="0" borderId="0" xfId="19"/>
    <xf numFmtId="164" fontId="3" fillId="0" borderId="7" xfId="4" applyBorder="1">
      <alignment horizontal="left"/>
    </xf>
    <xf numFmtId="164" fontId="3" fillId="0" borderId="0" xfId="1" applyNumberFormat="1" applyFont="1" applyFill="1" applyBorder="1" applyAlignment="1">
      <alignment horizontal="left"/>
    </xf>
    <xf numFmtId="164" fontId="3" fillId="0" borderId="0" xfId="4">
      <alignment horizontal="left"/>
    </xf>
    <xf numFmtId="0" fontId="4" fillId="0" borderId="7" xfId="5" applyBorder="1"/>
    <xf numFmtId="0" fontId="4" fillId="0" borderId="0" xfId="0" applyFont="1" applyBorder="1"/>
    <xf numFmtId="0" fontId="4" fillId="0" borderId="0" xfId="5" applyBorder="1"/>
    <xf numFmtId="0" fontId="0" fillId="0" borderId="7" xfId="0" applyBorder="1"/>
    <xf numFmtId="0" fontId="0" fillId="0" borderId="9" xfId="0" applyBorder="1"/>
    <xf numFmtId="0" fontId="2" fillId="7" borderId="9" xfId="0" applyFont="1" applyFill="1" applyBorder="1" applyAlignment="1">
      <alignment wrapText="1"/>
    </xf>
    <xf numFmtId="0" fontId="0" fillId="0" borderId="10" xfId="0" applyBorder="1"/>
    <xf numFmtId="0" fontId="2" fillId="7" borderId="11" xfId="0" applyFont="1" applyFill="1" applyBorder="1" applyAlignment="1">
      <alignment wrapText="1"/>
    </xf>
    <xf numFmtId="0" fontId="0" fillId="0" borderId="12" xfId="0" applyBorder="1"/>
    <xf numFmtId="0" fontId="0" fillId="0" borderId="13" xfId="0" applyBorder="1"/>
    <xf numFmtId="41" fontId="10" fillId="5" borderId="4" xfId="17" applyBorder="1"/>
    <xf numFmtId="41" fontId="10" fillId="5" borderId="0" xfId="17"/>
    <xf numFmtId="41" fontId="10" fillId="0" borderId="14" xfId="1" applyNumberFormat="1" applyFont="1" applyFill="1" applyBorder="1"/>
    <xf numFmtId="0" fontId="2" fillId="7" borderId="3" xfId="0" applyFont="1" applyFill="1" applyBorder="1" applyAlignment="1">
      <alignment wrapText="1"/>
    </xf>
    <xf numFmtId="0" fontId="2" fillId="7" borderId="15" xfId="0" applyFont="1" applyFill="1" applyBorder="1" applyAlignment="1">
      <alignment wrapText="1"/>
    </xf>
    <xf numFmtId="41" fontId="11" fillId="0" borderId="4" xfId="0" applyNumberFormat="1" applyFont="1" applyBorder="1"/>
    <xf numFmtId="41" fontId="11" fillId="0" borderId="3" xfId="0" applyNumberFormat="1" applyFont="1" applyBorder="1"/>
    <xf numFmtId="0" fontId="0" fillId="0" borderId="3" xfId="0" applyBorder="1"/>
    <xf numFmtId="0" fontId="7" fillId="0" borderId="0" xfId="0" applyFont="1"/>
    <xf numFmtId="0" fontId="11" fillId="0" borderId="2" xfId="0" applyFont="1" applyBorder="1"/>
    <xf numFmtId="41" fontId="17" fillId="4" borderId="5" xfId="13" applyFont="1" applyBorder="1" applyAlignment="1">
      <alignment horizontal="left"/>
      <protection locked="0"/>
    </xf>
    <xf numFmtId="0" fontId="11" fillId="0" borderId="5" xfId="0" applyFont="1" applyBorder="1"/>
    <xf numFmtId="0" fontId="0" fillId="0" borderId="6" xfId="0" applyBorder="1"/>
    <xf numFmtId="0" fontId="9" fillId="0" borderId="0" xfId="0" applyFont="1" applyBorder="1"/>
    <xf numFmtId="0" fontId="0" fillId="0" borderId="8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11" fillId="0" borderId="7" xfId="0" applyFont="1" applyBorder="1"/>
    <xf numFmtId="41" fontId="19" fillId="4" borderId="0" xfId="13" applyFont="1" applyBorder="1" applyAlignment="1">
      <alignment horizontal="left"/>
      <protection locked="0"/>
    </xf>
    <xf numFmtId="0" fontId="0" fillId="0" borderId="4" xfId="0" applyBorder="1"/>
    <xf numFmtId="41" fontId="20" fillId="4" borderId="3" xfId="13" applyFont="1" applyBorder="1" applyAlignment="1">
      <alignment horizontal="left"/>
      <protection locked="0"/>
    </xf>
    <xf numFmtId="0" fontId="0" fillId="0" borderId="15" xfId="0" applyBorder="1"/>
    <xf numFmtId="0" fontId="6" fillId="0" borderId="2" xfId="0" applyFont="1" applyBorder="1"/>
    <xf numFmtId="0" fontId="6" fillId="0" borderId="5" xfId="0" applyFont="1" applyBorder="1"/>
    <xf numFmtId="0" fontId="8" fillId="0" borderId="5" xfId="0" applyFont="1" applyBorder="1" applyAlignment="1">
      <alignment horizontal="right"/>
    </xf>
    <xf numFmtId="41" fontId="11" fillId="3" borderId="7" xfId="11" applyFont="1" applyBorder="1" applyAlignment="1">
      <alignment horizontal="left"/>
      <protection locked="0"/>
    </xf>
    <xf numFmtId="41" fontId="11" fillId="3" borderId="0" xfId="11" applyFont="1" applyBorder="1" applyAlignment="1">
      <alignment horizontal="left"/>
      <protection locked="0"/>
    </xf>
    <xf numFmtId="41" fontId="8" fillId="3" borderId="0" xfId="11" applyFont="1" applyBorder="1" applyAlignment="1">
      <alignment horizontal="right"/>
      <protection locked="0"/>
    </xf>
    <xf numFmtId="165" fontId="8" fillId="3" borderId="0" xfId="12" applyFont="1" applyBorder="1" applyAlignment="1">
      <alignment horizontal="right"/>
      <protection locked="0"/>
    </xf>
    <xf numFmtId="41" fontId="17" fillId="2" borderId="7" xfId="6" applyFont="1" applyBorder="1">
      <alignment horizontal="left"/>
      <protection locked="0"/>
    </xf>
    <xf numFmtId="0" fontId="17" fillId="2" borderId="0" xfId="0" applyFont="1" applyFill="1" applyBorder="1" applyAlignment="1">
      <alignment horizontal="left"/>
    </xf>
    <xf numFmtId="41" fontId="2" fillId="2" borderId="0" xfId="6">
      <alignment horizontal="left"/>
      <protection locked="0"/>
    </xf>
    <xf numFmtId="165" fontId="2" fillId="2" borderId="0" xfId="7">
      <alignment horizontal="right"/>
      <protection locked="0"/>
    </xf>
    <xf numFmtId="164" fontId="3" fillId="0" borderId="4" xfId="4" applyBorder="1">
      <alignment horizontal="left"/>
    </xf>
    <xf numFmtId="164" fontId="3" fillId="0" borderId="3" xfId="1" applyNumberFormat="1" applyFont="1" applyFill="1" applyBorder="1" applyAlignment="1">
      <alignment horizontal="left"/>
    </xf>
    <xf numFmtId="164" fontId="3" fillId="0" borderId="0" xfId="4" applyBorder="1">
      <alignment horizontal="left"/>
    </xf>
    <xf numFmtId="0" fontId="10" fillId="6" borderId="0" xfId="20" applyFont="1"/>
    <xf numFmtId="164" fontId="10" fillId="6" borderId="0" xfId="20" applyNumberFormat="1" applyAlignment="1">
      <alignment horizontal="left"/>
    </xf>
    <xf numFmtId="0" fontId="10" fillId="6" borderId="0" xfId="20"/>
    <xf numFmtId="0" fontId="2" fillId="8" borderId="0" xfId="0" applyFont="1" applyFill="1" applyAlignment="1">
      <alignment wrapText="1"/>
    </xf>
    <xf numFmtId="0" fontId="2" fillId="7" borderId="19" xfId="0" applyFont="1" applyFill="1" applyBorder="1" applyAlignment="1">
      <alignment wrapText="1"/>
    </xf>
    <xf numFmtId="0" fontId="2" fillId="7" borderId="19" xfId="0" applyFont="1" applyFill="1" applyBorder="1" applyAlignment="1">
      <alignment horizontal="right" wrapText="1"/>
    </xf>
    <xf numFmtId="0" fontId="2" fillId="7" borderId="19" xfId="0" quotePrefix="1" applyFont="1" applyFill="1" applyBorder="1" applyAlignment="1">
      <alignment wrapText="1"/>
    </xf>
    <xf numFmtId="0" fontId="2" fillId="7" borderId="0" xfId="0" applyFont="1" applyFill="1" applyAlignment="1">
      <alignment horizontal="left" indent="1"/>
    </xf>
    <xf numFmtId="0" fontId="7" fillId="0" borderId="0" xfId="0" applyFont="1" applyFill="1"/>
    <xf numFmtId="0" fontId="11" fillId="0" borderId="0" xfId="0" applyFont="1" applyFill="1"/>
    <xf numFmtId="0" fontId="8" fillId="0" borderId="0" xfId="0" applyFont="1" applyFill="1"/>
    <xf numFmtId="0" fontId="2" fillId="0" borderId="0" xfId="0" applyFont="1" applyFill="1"/>
    <xf numFmtId="0" fontId="2" fillId="0" borderId="20" xfId="0" applyFont="1" applyFill="1" applyBorder="1"/>
    <xf numFmtId="0" fontId="2" fillId="0" borderId="21" xfId="0" applyFont="1" applyFill="1" applyBorder="1"/>
    <xf numFmtId="0" fontId="2" fillId="0" borderId="22" xfId="0" applyFont="1" applyFill="1" applyBorder="1"/>
    <xf numFmtId="1" fontId="17" fillId="0" borderId="20" xfId="0" applyNumberFormat="1" applyFont="1" applyFill="1" applyBorder="1" applyAlignment="1">
      <alignment horizontal="right"/>
    </xf>
    <xf numFmtId="1" fontId="17" fillId="0" borderId="21" xfId="0" applyNumberFormat="1" applyFont="1" applyFill="1" applyBorder="1" applyAlignment="1">
      <alignment horizontal="right"/>
    </xf>
    <xf numFmtId="0" fontId="2" fillId="0" borderId="7" xfId="0" applyFont="1" applyFill="1" applyBorder="1"/>
    <xf numFmtId="0" fontId="2" fillId="0" borderId="0" xfId="0" applyFont="1" applyFill="1" applyBorder="1"/>
    <xf numFmtId="0" fontId="2" fillId="0" borderId="8" xfId="0" applyFont="1" applyFill="1" applyBorder="1"/>
    <xf numFmtId="1" fontId="17" fillId="0" borderId="0" xfId="0" applyNumberFormat="1" applyFont="1" applyFill="1" applyBorder="1" applyAlignment="1">
      <alignment horizontal="right"/>
    </xf>
    <xf numFmtId="10" fontId="21" fillId="0" borderId="0" xfId="2" applyNumberFormat="1" applyFont="1" applyFill="1" applyBorder="1" applyAlignment="1">
      <alignment horizontal="right"/>
    </xf>
    <xf numFmtId="165" fontId="2" fillId="0" borderId="0" xfId="2" applyNumberFormat="1" applyFont="1" applyFill="1" applyBorder="1" applyAlignment="1">
      <alignment horizontal="right"/>
    </xf>
    <xf numFmtId="0" fontId="17" fillId="0" borderId="7" xfId="0" applyFont="1" applyFill="1" applyBorder="1"/>
    <xf numFmtId="0" fontId="2" fillId="0" borderId="0" xfId="0" applyFont="1" applyFill="1" applyBorder="1" applyAlignment="1">
      <alignment horizontal="left"/>
    </xf>
    <xf numFmtId="0" fontId="22" fillId="0" borderId="7" xfId="0" applyFont="1" applyFill="1" applyBorder="1"/>
    <xf numFmtId="0" fontId="4" fillId="0" borderId="0" xfId="0" applyFont="1" applyFill="1" applyBorder="1"/>
    <xf numFmtId="0" fontId="4" fillId="0" borderId="8" xfId="0" applyFont="1" applyFill="1" applyBorder="1"/>
    <xf numFmtId="0" fontId="23" fillId="0" borderId="0" xfId="0" applyFont="1" applyFill="1" applyBorder="1"/>
    <xf numFmtId="9" fontId="4" fillId="0" borderId="0" xfId="0" applyNumberFormat="1" applyFont="1" applyFill="1" applyBorder="1"/>
    <xf numFmtId="9" fontId="2" fillId="0" borderId="0" xfId="0" applyNumberFormat="1" applyFont="1" applyFill="1" applyBorder="1"/>
    <xf numFmtId="2" fontId="23" fillId="0" borderId="0" xfId="0" applyNumberFormat="1" applyFont="1" applyFill="1" applyBorder="1"/>
    <xf numFmtId="2" fontId="23" fillId="0" borderId="23" xfId="0" applyNumberFormat="1" applyFont="1" applyFill="1" applyBorder="1"/>
    <xf numFmtId="0" fontId="9" fillId="0" borderId="0" xfId="0" applyFont="1" applyFill="1" applyBorder="1"/>
    <xf numFmtId="165" fontId="2" fillId="0" borderId="0" xfId="2" applyNumberFormat="1" applyFont="1" applyFill="1" applyBorder="1"/>
    <xf numFmtId="0" fontId="8" fillId="0" borderId="8" xfId="0" applyFont="1" applyFill="1" applyBorder="1"/>
    <xf numFmtId="2" fontId="2" fillId="0" borderId="0" xfId="0" applyNumberFormat="1" applyFont="1" applyFill="1" applyBorder="1"/>
    <xf numFmtId="2" fontId="23" fillId="0" borderId="24" xfId="0" applyNumberFormat="1" applyFont="1" applyFill="1" applyBorder="1"/>
    <xf numFmtId="166" fontId="23" fillId="0" borderId="0" xfId="0" applyNumberFormat="1" applyFont="1" applyFill="1" applyBorder="1"/>
    <xf numFmtId="1" fontId="23" fillId="0" borderId="0" xfId="0" applyNumberFormat="1" applyFont="1" applyFill="1" applyBorder="1"/>
    <xf numFmtId="1" fontId="23" fillId="0" borderId="24" xfId="0" applyNumberFormat="1" applyFont="1" applyFill="1" applyBorder="1"/>
    <xf numFmtId="167" fontId="23" fillId="0" borderId="0" xfId="1" applyNumberFormat="1" applyFont="1" applyFill="1" applyBorder="1"/>
    <xf numFmtId="167" fontId="23" fillId="0" borderId="8" xfId="1" applyNumberFormat="1" applyFont="1" applyFill="1" applyBorder="1"/>
    <xf numFmtId="0" fontId="8" fillId="0" borderId="0" xfId="0" applyFont="1" applyFill="1" applyBorder="1"/>
    <xf numFmtId="166" fontId="2" fillId="0" borderId="0" xfId="0" applyNumberFormat="1" applyFont="1" applyFill="1" applyBorder="1"/>
    <xf numFmtId="0" fontId="2" fillId="0" borderId="24" xfId="0" applyFont="1" applyFill="1" applyBorder="1"/>
    <xf numFmtId="0" fontId="2" fillId="0" borderId="7" xfId="0" applyFont="1" applyFill="1" applyBorder="1" applyAlignment="1">
      <alignment wrapText="1"/>
    </xf>
    <xf numFmtId="0" fontId="2" fillId="0" borderId="0" xfId="0" applyFont="1" applyFill="1" applyBorder="1" applyAlignment="1">
      <alignment wrapText="1"/>
    </xf>
    <xf numFmtId="167" fontId="21" fillId="0" borderId="25" xfId="1" applyNumberFormat="1" applyFont="1" applyFill="1" applyBorder="1"/>
    <xf numFmtId="167" fontId="2" fillId="0" borderId="0" xfId="1" applyNumberFormat="1" applyFont="1" applyFill="1" applyBorder="1"/>
    <xf numFmtId="0" fontId="2" fillId="0" borderId="7" xfId="0" applyFont="1" applyFill="1" applyBorder="1" applyAlignment="1"/>
    <xf numFmtId="167" fontId="2" fillId="0" borderId="24" xfId="1" applyNumberFormat="1" applyFont="1" applyFill="1" applyBorder="1"/>
    <xf numFmtId="167" fontId="2" fillId="0" borderId="26" xfId="1" applyNumberFormat="1" applyFont="1" applyFill="1" applyBorder="1"/>
    <xf numFmtId="0" fontId="24" fillId="0" borderId="7" xfId="0" applyFont="1" applyFill="1" applyBorder="1" applyAlignment="1"/>
    <xf numFmtId="0" fontId="25" fillId="0" borderId="0" xfId="0" applyFont="1" applyFill="1" applyBorder="1"/>
    <xf numFmtId="0" fontId="25" fillId="0" borderId="8" xfId="0" applyFont="1" applyFill="1" applyBorder="1"/>
    <xf numFmtId="167" fontId="24" fillId="0" borderId="0" xfId="1" applyNumberFormat="1" applyFont="1" applyFill="1" applyBorder="1"/>
    <xf numFmtId="167" fontId="3" fillId="0" borderId="0" xfId="1" applyNumberFormat="1" applyFont="1" applyFill="1" applyBorder="1"/>
    <xf numFmtId="1" fontId="2" fillId="0" borderId="0" xfId="0" applyNumberFormat="1" applyFont="1" applyFill="1" applyBorder="1"/>
    <xf numFmtId="0" fontId="2" fillId="0" borderId="4" xfId="0" applyFont="1" applyFill="1" applyBorder="1"/>
    <xf numFmtId="0" fontId="2" fillId="0" borderId="3" xfId="0" applyFont="1" applyFill="1" applyBorder="1"/>
    <xf numFmtId="0" fontId="2" fillId="0" borderId="15" xfId="0" applyFont="1" applyFill="1" applyBorder="1"/>
    <xf numFmtId="165" fontId="10" fillId="9" borderId="3" xfId="2" applyNumberFormat="1" applyFont="1" applyFill="1" applyBorder="1" applyAlignment="1"/>
    <xf numFmtId="0" fontId="25" fillId="0" borderId="0" xfId="0" applyFont="1" applyFill="1" applyAlignment="1"/>
    <xf numFmtId="0" fontId="8" fillId="0" borderId="0" xfId="0" applyFont="1" applyBorder="1"/>
    <xf numFmtId="166" fontId="8" fillId="0" borderId="0" xfId="0" applyNumberFormat="1" applyFont="1" applyFill="1"/>
    <xf numFmtId="9" fontId="23" fillId="0" borderId="0" xfId="2" applyFont="1" applyFill="1" applyBorder="1"/>
    <xf numFmtId="0" fontId="0" fillId="0" borderId="7" xfId="0" applyFont="1" applyFill="1" applyBorder="1"/>
    <xf numFmtId="0" fontId="0" fillId="0" borderId="4" xfId="0" applyFont="1" applyFill="1" applyBorder="1"/>
    <xf numFmtId="165" fontId="10" fillId="9" borderId="3" xfId="2" applyNumberFormat="1" applyFont="1" applyFill="1" applyBorder="1"/>
    <xf numFmtId="1" fontId="17" fillId="0" borderId="22" xfId="0" applyNumberFormat="1" applyFont="1" applyFill="1" applyBorder="1" applyAlignment="1">
      <alignment horizontal="right"/>
    </xf>
    <xf numFmtId="9" fontId="23" fillId="0" borderId="7" xfId="2" applyFont="1" applyFill="1" applyBorder="1"/>
    <xf numFmtId="9" fontId="23" fillId="0" borderId="8" xfId="2" applyFont="1" applyFill="1" applyBorder="1"/>
    <xf numFmtId="1" fontId="17" fillId="0" borderId="7" xfId="0" applyNumberFormat="1" applyFont="1" applyFill="1" applyBorder="1" applyAlignment="1">
      <alignment horizontal="right"/>
    </xf>
    <xf numFmtId="0" fontId="23" fillId="0" borderId="7" xfId="0" applyFont="1" applyFill="1" applyBorder="1"/>
    <xf numFmtId="2" fontId="23" fillId="0" borderId="8" xfId="0" applyNumberFormat="1" applyFont="1" applyFill="1" applyBorder="1"/>
    <xf numFmtId="2" fontId="23" fillId="0" borderId="7" xfId="0" applyNumberFormat="1" applyFont="1" applyFill="1" applyBorder="1"/>
    <xf numFmtId="43" fontId="2" fillId="0" borderId="0" xfId="0" applyNumberFormat="1" applyFont="1" applyFill="1" applyBorder="1"/>
    <xf numFmtId="43" fontId="2" fillId="0" borderId="8" xfId="0" applyNumberFormat="1" applyFont="1" applyFill="1" applyBorder="1"/>
    <xf numFmtId="166" fontId="23" fillId="0" borderId="8" xfId="0" applyNumberFormat="1" applyFont="1" applyFill="1" applyBorder="1"/>
    <xf numFmtId="1" fontId="23" fillId="0" borderId="7" xfId="0" applyNumberFormat="1" applyFont="1" applyFill="1" applyBorder="1"/>
    <xf numFmtId="167" fontId="2" fillId="0" borderId="7" xfId="1" applyNumberFormat="1" applyFont="1" applyFill="1" applyBorder="1"/>
    <xf numFmtId="167" fontId="2" fillId="0" borderId="8" xfId="1" applyNumberFormat="1" applyFont="1" applyFill="1" applyBorder="1"/>
    <xf numFmtId="167" fontId="24" fillId="0" borderId="7" xfId="1" applyNumberFormat="1" applyFont="1" applyFill="1" applyBorder="1"/>
    <xf numFmtId="167" fontId="3" fillId="0" borderId="8" xfId="1" applyNumberFormat="1" applyFont="1" applyFill="1" applyBorder="1"/>
    <xf numFmtId="1" fontId="2" fillId="0" borderId="8" xfId="0" applyNumberFormat="1" applyFont="1" applyFill="1" applyBorder="1"/>
    <xf numFmtId="167" fontId="17" fillId="0" borderId="7" xfId="1" applyNumberFormat="1" applyFont="1" applyFill="1" applyBorder="1"/>
    <xf numFmtId="167" fontId="17" fillId="0" borderId="0" xfId="1" applyNumberFormat="1" applyFont="1" applyFill="1" applyBorder="1"/>
    <xf numFmtId="167" fontId="17" fillId="0" borderId="8" xfId="1" applyNumberFormat="1" applyFont="1" applyFill="1" applyBorder="1"/>
    <xf numFmtId="10" fontId="0" fillId="0" borderId="0" xfId="0" applyNumberFormat="1"/>
    <xf numFmtId="0" fontId="0" fillId="0" borderId="0" xfId="0" applyFont="1" applyFill="1" applyBorder="1"/>
  </cellXfs>
  <cellStyles count="21">
    <cellStyle name="Change in Formula" xfId="3"/>
    <cellStyle name="Comma" xfId="1" builtinId="3" customBuiltin="1"/>
    <cellStyle name="Error checks" xfId="4"/>
    <cellStyle name="Error Warning" xfId="5"/>
    <cellStyle name="Forecast Input" xfId="6"/>
    <cellStyle name="Forecast Input%" xfId="7"/>
    <cellStyle name="Heading1" xfId="8"/>
    <cellStyle name="Heading2" xfId="9"/>
    <cellStyle name="Heading3" xfId="10"/>
    <cellStyle name="Info Input #" xfId="11"/>
    <cellStyle name="Info Input %" xfId="12"/>
    <cellStyle name="Input #" xfId="13"/>
    <cellStyle name="Input %" xfId="14"/>
    <cellStyle name="Input2 #" xfId="15"/>
    <cellStyle name="Input2 %" xfId="16"/>
    <cellStyle name="Key Outputs" xfId="17"/>
    <cellStyle name="Key Outputs 2" xfId="18"/>
    <cellStyle name="Links from other files (green) style" xfId="19"/>
    <cellStyle name="Normal" xfId="0" builtinId="0" customBuiltin="1"/>
    <cellStyle name="Percent" xfId="2" builtinId="5"/>
    <cellStyle name="QA Notes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iPart">
  <a:themeElements>
    <a:clrScheme name="iPart">
      <a:dk1>
        <a:sysClr val="windowText" lastClr="000000"/>
      </a:dk1>
      <a:lt1>
        <a:sysClr val="window" lastClr="FFFFFF"/>
      </a:lt1>
      <a:dk2>
        <a:srgbClr val="001C52"/>
      </a:dk2>
      <a:lt2>
        <a:srgbClr val="EEECE1"/>
      </a:lt2>
      <a:accent1>
        <a:srgbClr val="001C52"/>
      </a:accent1>
      <a:accent2>
        <a:srgbClr val="B6C400"/>
      </a:accent2>
      <a:accent3>
        <a:srgbClr val="DC0000"/>
      </a:accent3>
      <a:accent4>
        <a:srgbClr val="2C90CE"/>
      </a:accent4>
      <a:accent5>
        <a:srgbClr val="EED084"/>
      </a:accent5>
      <a:accent6>
        <a:srgbClr val="6CB07E"/>
      </a:accent6>
      <a:hlink>
        <a:srgbClr val="0000FF"/>
      </a:hlink>
      <a:folHlink>
        <a:srgbClr val="800080"/>
      </a:folHlink>
    </a:clrScheme>
    <a:fontScheme name="iPart">
      <a:majorFont>
        <a:latin typeface="Book Antiqua"/>
        <a:ea typeface=""/>
        <a:cs typeface=""/>
      </a:majorFont>
      <a:minorFont>
        <a:latin typeface="Book Antiqu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2"/>
  <sheetViews>
    <sheetView showGridLines="0" zoomScale="75" zoomScaleNormal="75" workbookViewId="0">
      <selection activeCell="P4" sqref="P4"/>
    </sheetView>
  </sheetViews>
  <sheetFormatPr defaultColWidth="13.140625" defaultRowHeight="12" x14ac:dyDescent="0.2"/>
  <cols>
    <col min="1" max="16384" width="13.140625" style="2"/>
  </cols>
  <sheetData>
    <row r="1" spans="1:18" ht="20.25" x14ac:dyDescent="0.3">
      <c r="A1" s="1" t="s">
        <v>0</v>
      </c>
      <c r="C1" s="3"/>
      <c r="D1" s="3"/>
      <c r="E1"/>
      <c r="F1"/>
      <c r="G1"/>
      <c r="H1"/>
      <c r="I1"/>
      <c r="J1"/>
    </row>
    <row r="2" spans="1:18" s="6" customFormat="1" ht="12.75" x14ac:dyDescent="0.2">
      <c r="A2" s="4"/>
      <c r="B2" s="5" t="s">
        <v>1</v>
      </c>
      <c r="C2" s="5"/>
      <c r="D2" s="5"/>
      <c r="E2" s="4"/>
      <c r="F2" s="4"/>
      <c r="G2" s="4"/>
      <c r="H2" s="4"/>
      <c r="I2" s="4"/>
      <c r="J2" s="4"/>
    </row>
    <row r="3" spans="1:18" ht="15.75" x14ac:dyDescent="0.25">
      <c r="A3"/>
      <c r="B3" s="7" t="s">
        <v>2</v>
      </c>
      <c r="C3" s="8"/>
      <c r="D3" s="8"/>
      <c r="E3"/>
      <c r="F3"/>
      <c r="G3"/>
      <c r="H3"/>
      <c r="I3"/>
      <c r="J3"/>
    </row>
    <row r="4" spans="1:18" ht="12.75" x14ac:dyDescent="0.2">
      <c r="A4"/>
      <c r="B4"/>
      <c r="C4" s="9"/>
      <c r="D4" s="9"/>
      <c r="E4"/>
      <c r="G4"/>
      <c r="H4" s="10" t="s">
        <v>3</v>
      </c>
      <c r="I4"/>
      <c r="J4"/>
    </row>
    <row r="5" spans="1:18" ht="12.75" x14ac:dyDescent="0.2">
      <c r="A5"/>
      <c r="B5"/>
      <c r="C5"/>
      <c r="D5"/>
      <c r="E5"/>
      <c r="G5"/>
      <c r="H5"/>
      <c r="I5" s="10" t="s">
        <v>4</v>
      </c>
      <c r="J5"/>
    </row>
    <row r="6" spans="1:18" ht="18" x14ac:dyDescent="0.25">
      <c r="A6"/>
      <c r="B6" s="11" t="s">
        <v>5</v>
      </c>
      <c r="C6" s="12"/>
      <c r="D6" s="12"/>
      <c r="E6"/>
      <c r="F6"/>
      <c r="G6"/>
      <c r="H6"/>
      <c r="I6"/>
      <c r="J6"/>
    </row>
    <row r="7" spans="1:18" ht="15.75" x14ac:dyDescent="0.25">
      <c r="A7"/>
      <c r="B7" s="13" t="s">
        <v>6</v>
      </c>
      <c r="C7" s="14"/>
      <c r="D7" s="15"/>
      <c r="E7" s="15"/>
      <c r="F7" s="15"/>
      <c r="G7" s="16" t="str">
        <f>G22</f>
        <v>numbers</v>
      </c>
      <c r="H7" s="17" t="str">
        <f>H22</f>
        <v>%</v>
      </c>
      <c r="I7" s="18" t="s">
        <v>7</v>
      </c>
      <c r="J7" s="14"/>
      <c r="K7" s="19"/>
      <c r="L7" s="19"/>
      <c r="M7" s="15"/>
      <c r="N7" s="20"/>
      <c r="P7" s="21"/>
    </row>
    <row r="8" spans="1:18" ht="12.75" x14ac:dyDescent="0.2">
      <c r="A8"/>
      <c r="B8" s="22" t="s">
        <v>8</v>
      </c>
      <c r="C8" s="23"/>
      <c r="D8" s="24"/>
      <c r="E8" s="24"/>
      <c r="F8" s="24"/>
      <c r="G8" s="25">
        <v>4442</v>
      </c>
      <c r="H8" s="26">
        <v>0.08</v>
      </c>
      <c r="I8" s="27" t="s">
        <v>8</v>
      </c>
      <c r="J8" s="28">
        <v>67</v>
      </c>
      <c r="K8" s="29">
        <v>0.03</v>
      </c>
      <c r="L8" s="30"/>
      <c r="M8" s="24"/>
      <c r="N8" s="31"/>
    </row>
    <row r="9" spans="1:18" ht="12.75" x14ac:dyDescent="0.2">
      <c r="A9"/>
      <c r="B9" s="32" t="s">
        <v>9</v>
      </c>
      <c r="C9" s="23"/>
      <c r="D9" s="30"/>
      <c r="E9" s="30"/>
      <c r="F9" s="24"/>
      <c r="G9" s="24"/>
      <c r="H9" s="31"/>
      <c r="I9" s="33" t="str">
        <f>B9</f>
        <v>Links from other files (green)</v>
      </c>
      <c r="J9" s="23"/>
      <c r="K9" s="30"/>
      <c r="L9" s="30"/>
      <c r="M9" s="24"/>
      <c r="N9" s="31"/>
    </row>
    <row r="10" spans="1:18" x14ac:dyDescent="0.2">
      <c r="A10"/>
      <c r="B10" s="34" t="s">
        <v>10</v>
      </c>
      <c r="C10" s="35"/>
      <c r="D10" s="35"/>
      <c r="E10" s="30"/>
      <c r="F10" s="24"/>
      <c r="G10" s="24"/>
      <c r="H10" s="31"/>
      <c r="I10" s="36" t="s">
        <v>10</v>
      </c>
      <c r="J10" s="35"/>
      <c r="K10" s="30"/>
      <c r="L10" s="30"/>
      <c r="M10" s="24"/>
      <c r="N10" s="31"/>
    </row>
    <row r="11" spans="1:18" ht="12.75" x14ac:dyDescent="0.2">
      <c r="A11"/>
      <c r="B11" s="37" t="s">
        <v>11</v>
      </c>
      <c r="C11" s="38"/>
      <c r="D11" s="30"/>
      <c r="E11" s="30"/>
      <c r="F11" s="24"/>
      <c r="G11" s="24"/>
      <c r="H11" s="31"/>
      <c r="I11" s="39" t="str">
        <f>B11</f>
        <v>Error warnings, messages and unusual calculation assumptions</v>
      </c>
      <c r="J11" s="38"/>
      <c r="K11" s="30"/>
      <c r="L11" s="30"/>
      <c r="M11" s="24"/>
      <c r="N11" s="31"/>
      <c r="Q11" s="33"/>
      <c r="R11" s="33"/>
    </row>
    <row r="12" spans="1:18" ht="12.75" x14ac:dyDescent="0.2">
      <c r="A12"/>
      <c r="B12" s="40" t="s">
        <v>12</v>
      </c>
      <c r="C12" s="30"/>
      <c r="D12" s="41"/>
      <c r="E12" s="24"/>
      <c r="F12" s="42"/>
      <c r="G12" s="43"/>
      <c r="H12" s="44"/>
      <c r="I12" s="45" t="s">
        <v>13</v>
      </c>
      <c r="J12" s="46"/>
      <c r="K12" s="46"/>
      <c r="L12" s="46"/>
      <c r="M12" s="43"/>
      <c r="N12" s="44"/>
      <c r="Q12" s="33"/>
      <c r="R12" s="33"/>
    </row>
    <row r="13" spans="1:18" ht="12.75" x14ac:dyDescent="0.2">
      <c r="A13"/>
      <c r="B13" s="47" t="s">
        <v>14</v>
      </c>
      <c r="C13" s="48"/>
      <c r="D13" s="49"/>
      <c r="E13" s="49"/>
      <c r="F13" s="50"/>
      <c r="G13" s="50"/>
      <c r="H13" s="51"/>
      <c r="I13" s="52" t="str">
        <f>B13</f>
        <v>Key outputs</v>
      </c>
      <c r="J13" s="53"/>
      <c r="K13" s="54"/>
      <c r="L13" s="54"/>
      <c r="M13" s="50"/>
      <c r="N13" s="51"/>
      <c r="Q13" s="33"/>
      <c r="R13" s="33"/>
    </row>
    <row r="14" spans="1:18" ht="15.75" x14ac:dyDescent="0.25">
      <c r="A14"/>
      <c r="B14" s="9" t="s">
        <v>15</v>
      </c>
      <c r="C14" s="55"/>
      <c r="D14" s="55"/>
      <c r="E14"/>
      <c r="F14"/>
      <c r="G14"/>
      <c r="H14"/>
      <c r="I14"/>
      <c r="J14"/>
      <c r="Q14" s="33"/>
      <c r="R14" s="33"/>
    </row>
    <row r="15" spans="1:18" ht="12.75" x14ac:dyDescent="0.2">
      <c r="A15"/>
      <c r="B15" s="56" t="s">
        <v>16</v>
      </c>
      <c r="C15" s="15"/>
      <c r="D15" s="57" t="s">
        <v>17</v>
      </c>
      <c r="E15" s="57"/>
      <c r="F15" s="58" t="s">
        <v>18</v>
      </c>
      <c r="G15" s="19"/>
      <c r="H15" s="19"/>
      <c r="I15" s="19"/>
      <c r="J15" s="59"/>
      <c r="L15"/>
      <c r="Q15" s="33"/>
      <c r="R15" s="33"/>
    </row>
    <row r="16" spans="1:18" ht="12.75" x14ac:dyDescent="0.2">
      <c r="A16"/>
      <c r="B16" s="40"/>
      <c r="C16" s="60" t="s">
        <v>19</v>
      </c>
      <c r="D16" s="60"/>
      <c r="E16" s="30"/>
      <c r="F16" s="30"/>
      <c r="G16" s="30"/>
      <c r="H16" s="30"/>
      <c r="I16" s="30"/>
      <c r="J16" s="61"/>
    </row>
    <row r="17" spans="1:10" x14ac:dyDescent="0.2">
      <c r="A17"/>
      <c r="B17" s="62"/>
      <c r="C17" s="63"/>
      <c r="D17" s="63"/>
      <c r="E17" s="63"/>
      <c r="F17" s="63"/>
      <c r="G17" s="63"/>
      <c r="H17" s="63"/>
      <c r="I17" s="63"/>
      <c r="J17" s="64"/>
    </row>
    <row r="18" spans="1:10" ht="12.75" x14ac:dyDescent="0.2">
      <c r="A18"/>
      <c r="B18" s="65" t="s">
        <v>20</v>
      </c>
      <c r="D18" s="66" t="s">
        <v>21</v>
      </c>
      <c r="E18" s="66"/>
      <c r="F18" s="66"/>
      <c r="G18" s="66"/>
      <c r="H18" s="66"/>
      <c r="I18" s="30"/>
      <c r="J18" s="61"/>
    </row>
    <row r="19" spans="1:10" x14ac:dyDescent="0.2">
      <c r="A19"/>
      <c r="B19" s="67"/>
      <c r="C19" s="50"/>
      <c r="D19" s="68" t="s">
        <v>22</v>
      </c>
      <c r="E19" s="68"/>
      <c r="F19" s="68"/>
      <c r="G19" s="68"/>
      <c r="H19" s="68"/>
      <c r="I19" s="54"/>
      <c r="J19" s="69"/>
    </row>
    <row r="20" spans="1:10" ht="12.75" x14ac:dyDescent="0.2">
      <c r="A20"/>
      <c r="B20"/>
      <c r="C20"/>
      <c r="D20"/>
      <c r="H20" s="10" t="s">
        <v>3</v>
      </c>
      <c r="I20"/>
      <c r="J20"/>
    </row>
    <row r="21" spans="1:10" ht="18" x14ac:dyDescent="0.25">
      <c r="A21"/>
      <c r="B21" s="11" t="s">
        <v>23</v>
      </c>
      <c r="C21" s="12"/>
      <c r="D21" s="12"/>
      <c r="I21" s="10" t="s">
        <v>4</v>
      </c>
      <c r="J21"/>
    </row>
    <row r="22" spans="1:10" ht="18" x14ac:dyDescent="0.25">
      <c r="A22"/>
      <c r="B22" s="70"/>
      <c r="C22" s="71"/>
      <c r="D22" s="15"/>
      <c r="E22" s="15"/>
      <c r="F22" s="15"/>
      <c r="G22" s="16" t="s">
        <v>24</v>
      </c>
      <c r="H22" s="16" t="s">
        <v>25</v>
      </c>
      <c r="I22" s="72"/>
      <c r="J22" s="59"/>
    </row>
    <row r="23" spans="1:10" ht="12.75" x14ac:dyDescent="0.2">
      <c r="A23"/>
      <c r="B23" s="73" t="s">
        <v>26</v>
      </c>
      <c r="C23" s="74"/>
      <c r="D23" s="74"/>
      <c r="E23" s="74"/>
      <c r="F23" s="74"/>
      <c r="G23" s="75">
        <v>234</v>
      </c>
      <c r="H23" s="76">
        <v>0.24</v>
      </c>
      <c r="I23" s="30"/>
      <c r="J23" s="61"/>
    </row>
    <row r="24" spans="1:10" x14ac:dyDescent="0.2">
      <c r="A24"/>
      <c r="B24" s="77" t="s">
        <v>27</v>
      </c>
      <c r="C24" s="78"/>
      <c r="D24" s="78"/>
      <c r="E24" s="78"/>
      <c r="F24" s="78"/>
      <c r="G24" s="79">
        <v>667</v>
      </c>
      <c r="H24" s="80">
        <v>0.05</v>
      </c>
      <c r="I24" s="30"/>
      <c r="J24" s="61"/>
    </row>
    <row r="25" spans="1:10" x14ac:dyDescent="0.2">
      <c r="A25"/>
      <c r="B25" s="37" t="s">
        <v>28</v>
      </c>
      <c r="C25" s="38"/>
      <c r="D25" s="38"/>
      <c r="E25"/>
      <c r="F25" s="30"/>
      <c r="G25" s="30"/>
      <c r="H25" s="30"/>
      <c r="I25" s="30"/>
      <c r="J25" s="61"/>
    </row>
    <row r="26" spans="1:10" x14ac:dyDescent="0.2">
      <c r="A26"/>
      <c r="B26" s="81" t="s">
        <v>10</v>
      </c>
      <c r="C26" s="82"/>
      <c r="D26" s="82"/>
      <c r="E26" s="54"/>
      <c r="F26" s="54"/>
      <c r="G26" s="54"/>
      <c r="H26" s="54"/>
      <c r="I26" s="54"/>
      <c r="J26" s="69"/>
    </row>
    <row r="27" spans="1:10" x14ac:dyDescent="0.2">
      <c r="A27"/>
      <c r="B27" s="83"/>
      <c r="C27" s="35"/>
      <c r="D27" s="35"/>
      <c r="E27" s="30"/>
      <c r="F27" s="30"/>
      <c r="G27" s="30"/>
      <c r="H27" s="30"/>
      <c r="I27" s="30"/>
      <c r="J27" s="30"/>
    </row>
    <row r="28" spans="1:10" x14ac:dyDescent="0.2">
      <c r="A28"/>
      <c r="B28" s="84" t="s">
        <v>29</v>
      </c>
      <c r="C28" s="85"/>
      <c r="D28" s="85"/>
      <c r="E28" s="86"/>
      <c r="F28" s="86"/>
      <c r="G28" s="86"/>
      <c r="H28" s="86"/>
      <c r="I28" s="86"/>
      <c r="J28" s="86"/>
    </row>
    <row r="29" spans="1:10" x14ac:dyDescent="0.2">
      <c r="A29"/>
      <c r="B29" s="83"/>
      <c r="C29" s="35"/>
      <c r="D29" s="35"/>
      <c r="E29" s="30"/>
      <c r="F29" s="30"/>
      <c r="G29" s="30"/>
      <c r="H29" s="30"/>
      <c r="I29" s="30"/>
      <c r="J29" s="30"/>
    </row>
    <row r="30" spans="1:10" s="87" customFormat="1" x14ac:dyDescent="0.2"/>
    <row r="31" spans="1:10" ht="18" x14ac:dyDescent="0.25">
      <c r="A31" s="3" t="s">
        <v>30</v>
      </c>
    </row>
    <row r="32" spans="1:10" ht="7.5" customHeight="1" x14ac:dyDescent="0.25">
      <c r="A32" s="3"/>
    </row>
    <row r="33" spans="1:27" x14ac:dyDescent="0.2">
      <c r="A33" s="88"/>
      <c r="B33" s="89" t="s">
        <v>31</v>
      </c>
      <c r="C33" s="89" t="s">
        <v>32</v>
      </c>
      <c r="D33" s="89" t="s">
        <v>33</v>
      </c>
      <c r="E33" s="89" t="s">
        <v>34</v>
      </c>
      <c r="F33" s="89" t="s">
        <v>35</v>
      </c>
      <c r="G33" s="89" t="s">
        <v>36</v>
      </c>
      <c r="H33" s="89" t="s">
        <v>37</v>
      </c>
      <c r="I33" s="89" t="s">
        <v>38</v>
      </c>
      <c r="K33" s="88"/>
      <c r="L33" s="89" t="s">
        <v>39</v>
      </c>
      <c r="M33" s="89" t="s">
        <v>40</v>
      </c>
      <c r="N33" s="89" t="s">
        <v>41</v>
      </c>
      <c r="O33" s="89" t="s">
        <v>42</v>
      </c>
      <c r="P33" s="89" t="s">
        <v>43</v>
      </c>
      <c r="Q33" s="89" t="s">
        <v>44</v>
      </c>
      <c r="S33" s="88" t="s">
        <v>45</v>
      </c>
      <c r="T33" s="88" t="s">
        <v>46</v>
      </c>
      <c r="U33" s="88" t="s">
        <v>47</v>
      </c>
      <c r="W33" s="88"/>
      <c r="X33" s="88" t="s">
        <v>48</v>
      </c>
      <c r="Y33" s="88" t="s">
        <v>49</v>
      </c>
      <c r="Z33" s="88" t="s">
        <v>50</v>
      </c>
      <c r="AA33" s="88" t="s">
        <v>51</v>
      </c>
    </row>
    <row r="34" spans="1:27" x14ac:dyDescent="0.2">
      <c r="A34" s="88" t="s">
        <v>52</v>
      </c>
      <c r="B34" s="88">
        <v>36.19</v>
      </c>
      <c r="C34" s="88">
        <v>36.880000000000003</v>
      </c>
      <c r="D34" s="88">
        <v>21.56</v>
      </c>
      <c r="E34" s="88">
        <v>5.36</v>
      </c>
      <c r="F34" s="88">
        <v>3.01</v>
      </c>
      <c r="G34" s="88">
        <v>10</v>
      </c>
      <c r="H34" s="88">
        <v>3.01</v>
      </c>
      <c r="I34" s="88">
        <v>10</v>
      </c>
      <c r="K34" s="88" t="s">
        <v>52</v>
      </c>
      <c r="L34" s="88">
        <v>33.19</v>
      </c>
      <c r="M34" s="88">
        <v>36.880000000000003</v>
      </c>
      <c r="N34" s="88">
        <v>21.56</v>
      </c>
      <c r="O34" s="88">
        <v>5.36</v>
      </c>
      <c r="P34" s="88">
        <v>3.01</v>
      </c>
      <c r="Q34" s="88">
        <v>10</v>
      </c>
      <c r="S34" s="88">
        <v>1.8</v>
      </c>
      <c r="T34" s="88">
        <v>10</v>
      </c>
      <c r="U34" s="88">
        <v>17</v>
      </c>
      <c r="W34" s="88" t="s">
        <v>52</v>
      </c>
      <c r="X34" s="88">
        <v>33.19</v>
      </c>
      <c r="Y34" s="88">
        <v>36.880000000000003</v>
      </c>
      <c r="Z34" s="88">
        <v>21.56</v>
      </c>
      <c r="AA34" s="88">
        <v>5.36</v>
      </c>
    </row>
    <row r="35" spans="1:27" x14ac:dyDescent="0.2">
      <c r="A35" s="88" t="s">
        <v>53</v>
      </c>
      <c r="B35" s="88">
        <v>39.39</v>
      </c>
      <c r="C35" s="88">
        <v>32.020000000000003</v>
      </c>
      <c r="D35" s="88">
        <v>21.6</v>
      </c>
      <c r="E35" s="88">
        <v>7.01</v>
      </c>
      <c r="F35" s="88">
        <v>3.36</v>
      </c>
      <c r="G35" s="88">
        <v>12</v>
      </c>
      <c r="H35" s="88">
        <v>3.36</v>
      </c>
      <c r="I35" s="88">
        <v>12</v>
      </c>
      <c r="K35" s="88" t="s">
        <v>53</v>
      </c>
      <c r="L35" s="88">
        <v>39.39</v>
      </c>
      <c r="M35" s="88">
        <v>32.020000000000003</v>
      </c>
      <c r="N35" s="88">
        <v>21.6</v>
      </c>
      <c r="O35" s="88">
        <v>7.01</v>
      </c>
      <c r="P35" s="88">
        <v>3.36</v>
      </c>
      <c r="Q35" s="88">
        <v>12</v>
      </c>
      <c r="S35" s="88">
        <v>2.2999999999999998</v>
      </c>
      <c r="T35" s="88">
        <v>12</v>
      </c>
      <c r="U35" s="88">
        <v>9</v>
      </c>
      <c r="W35" s="88" t="s">
        <v>53</v>
      </c>
      <c r="X35" s="88">
        <v>39.39</v>
      </c>
      <c r="Y35" s="88">
        <v>32.020000000000003</v>
      </c>
      <c r="Z35" s="88">
        <v>21.6</v>
      </c>
      <c r="AA35" s="88">
        <v>7.01</v>
      </c>
    </row>
    <row r="36" spans="1:27" x14ac:dyDescent="0.2">
      <c r="A36" s="88" t="s">
        <v>54</v>
      </c>
      <c r="B36" s="88">
        <v>42.78</v>
      </c>
      <c r="C36" s="88">
        <v>29.91</v>
      </c>
      <c r="D36" s="88">
        <v>18.350000000000001</v>
      </c>
      <c r="E36" s="88">
        <v>6.33</v>
      </c>
      <c r="F36" s="88">
        <v>2.63</v>
      </c>
      <c r="G36" s="88">
        <v>14</v>
      </c>
      <c r="H36" s="88">
        <v>2.63</v>
      </c>
      <c r="I36" s="88">
        <v>14</v>
      </c>
      <c r="K36" s="88" t="s">
        <v>54</v>
      </c>
      <c r="L36" s="88">
        <v>42.78</v>
      </c>
      <c r="M36" s="88">
        <v>29.91</v>
      </c>
      <c r="N36" s="88">
        <v>18.350000000000001</v>
      </c>
      <c r="O36" s="88">
        <v>6.33</v>
      </c>
      <c r="P36" s="88">
        <v>2.63</v>
      </c>
      <c r="Q36" s="88">
        <v>14</v>
      </c>
      <c r="S36" s="88">
        <v>3.7</v>
      </c>
      <c r="T36" s="88">
        <v>16</v>
      </c>
      <c r="U36" s="88">
        <v>14</v>
      </c>
      <c r="W36" s="88" t="s">
        <v>54</v>
      </c>
      <c r="X36" s="88">
        <v>42.78</v>
      </c>
      <c r="Y36" s="88">
        <v>29.91</v>
      </c>
      <c r="Z36" s="88">
        <v>18.350000000000001</v>
      </c>
      <c r="AA36" s="88">
        <v>6.33</v>
      </c>
    </row>
    <row r="37" spans="1:27" x14ac:dyDescent="0.2">
      <c r="A37" s="90" t="s">
        <v>55</v>
      </c>
      <c r="B37" s="88">
        <v>42.13</v>
      </c>
      <c r="C37" s="88">
        <v>26.53</v>
      </c>
      <c r="D37" s="88">
        <v>21.6</v>
      </c>
      <c r="E37" s="88">
        <v>7.01</v>
      </c>
      <c r="F37" s="88">
        <v>2.72</v>
      </c>
      <c r="G37" s="88">
        <v>16</v>
      </c>
      <c r="H37" s="88">
        <v>2.72</v>
      </c>
      <c r="I37" s="88">
        <v>16</v>
      </c>
      <c r="K37" s="90" t="s">
        <v>55</v>
      </c>
      <c r="L37" s="88">
        <v>42.13</v>
      </c>
      <c r="M37" s="88">
        <v>26.53</v>
      </c>
      <c r="N37" s="88">
        <v>21.6</v>
      </c>
      <c r="O37" s="88">
        <v>7.01</v>
      </c>
      <c r="P37" s="88">
        <v>2.72</v>
      </c>
      <c r="Q37" s="88">
        <v>16</v>
      </c>
      <c r="S37" s="88">
        <v>4.0999999999999996</v>
      </c>
      <c r="T37" s="88">
        <v>8</v>
      </c>
      <c r="U37" s="88">
        <v>23</v>
      </c>
      <c r="W37" s="90" t="s">
        <v>55</v>
      </c>
      <c r="X37" s="88">
        <v>42.13</v>
      </c>
      <c r="Y37" s="88">
        <v>26.53</v>
      </c>
      <c r="Z37" s="88">
        <v>21.6</v>
      </c>
      <c r="AA37" s="88">
        <v>7.01</v>
      </c>
    </row>
    <row r="38" spans="1:27" x14ac:dyDescent="0.2">
      <c r="A38" s="88" t="s">
        <v>56</v>
      </c>
      <c r="B38" s="88">
        <v>41.69</v>
      </c>
      <c r="C38" s="88">
        <v>24.76</v>
      </c>
      <c r="D38" s="88">
        <v>23.98</v>
      </c>
      <c r="E38" s="88">
        <v>7</v>
      </c>
      <c r="F38" s="88">
        <v>2.57</v>
      </c>
      <c r="G38" s="88">
        <v>18</v>
      </c>
      <c r="H38" s="88">
        <v>2.57</v>
      </c>
      <c r="I38" s="88">
        <v>18</v>
      </c>
      <c r="K38" s="88" t="s">
        <v>56</v>
      </c>
      <c r="L38" s="88">
        <v>41.69</v>
      </c>
      <c r="M38" s="88">
        <v>24.76</v>
      </c>
      <c r="N38" s="88">
        <v>23.98</v>
      </c>
      <c r="O38" s="88">
        <v>7</v>
      </c>
      <c r="P38" s="88">
        <v>2.57</v>
      </c>
      <c r="Q38" s="88">
        <v>18</v>
      </c>
      <c r="S38" s="88">
        <v>5.5</v>
      </c>
      <c r="T38" s="88">
        <v>14</v>
      </c>
      <c r="U38" s="88">
        <v>27</v>
      </c>
      <c r="W38" s="88" t="s">
        <v>56</v>
      </c>
      <c r="X38" s="88">
        <v>41.69</v>
      </c>
      <c r="Y38" s="88">
        <v>24.76</v>
      </c>
      <c r="Z38" s="88">
        <v>23.98</v>
      </c>
      <c r="AA38" s="88">
        <v>7</v>
      </c>
    </row>
    <row r="39" spans="1:27" x14ac:dyDescent="0.2">
      <c r="A39" s="88" t="s">
        <v>57</v>
      </c>
      <c r="B39" s="88">
        <v>39.39</v>
      </c>
      <c r="C39" s="88">
        <v>32.020000000000003</v>
      </c>
      <c r="D39" s="88">
        <v>21.6</v>
      </c>
      <c r="E39" s="88">
        <v>7.01</v>
      </c>
      <c r="F39" s="88">
        <v>3.36</v>
      </c>
      <c r="G39" s="88">
        <v>12</v>
      </c>
      <c r="H39" s="88">
        <v>3.36</v>
      </c>
      <c r="I39" s="88">
        <v>12</v>
      </c>
      <c r="K39" s="88" t="s">
        <v>57</v>
      </c>
      <c r="L39" s="88">
        <v>39.39</v>
      </c>
      <c r="M39" s="88">
        <v>32.020000000000003</v>
      </c>
      <c r="N39" s="88">
        <v>21.6</v>
      </c>
      <c r="O39" s="88">
        <v>7.01</v>
      </c>
      <c r="P39" s="88">
        <v>3.36</v>
      </c>
      <c r="Q39" s="88">
        <v>12</v>
      </c>
      <c r="W39" s="88" t="s">
        <v>57</v>
      </c>
      <c r="X39" s="88">
        <v>39.39</v>
      </c>
      <c r="Y39" s="88">
        <v>32.020000000000003</v>
      </c>
      <c r="Z39" s="88">
        <v>21.6</v>
      </c>
      <c r="AA39" s="88">
        <v>7.01</v>
      </c>
    </row>
    <row r="40" spans="1:27" x14ac:dyDescent="0.2">
      <c r="A40" s="88" t="s">
        <v>58</v>
      </c>
      <c r="B40" s="88">
        <v>42.13</v>
      </c>
      <c r="C40" s="88">
        <v>26.53</v>
      </c>
      <c r="D40" s="88">
        <v>21.6</v>
      </c>
      <c r="E40" s="88">
        <v>7.01</v>
      </c>
      <c r="F40" s="88">
        <v>2.72</v>
      </c>
      <c r="G40" s="88">
        <v>16</v>
      </c>
      <c r="H40" s="88">
        <v>2.72</v>
      </c>
      <c r="I40" s="88">
        <v>16</v>
      </c>
      <c r="K40" s="88" t="s">
        <v>58</v>
      </c>
      <c r="L40" s="88">
        <v>42.13</v>
      </c>
      <c r="M40" s="88">
        <v>26.53</v>
      </c>
      <c r="N40" s="88">
        <v>21.6</v>
      </c>
      <c r="O40" s="88">
        <v>7.01</v>
      </c>
      <c r="P40" s="88">
        <v>2.72</v>
      </c>
      <c r="Q40" s="88">
        <v>16</v>
      </c>
      <c r="W40" s="88" t="s">
        <v>58</v>
      </c>
      <c r="X40" s="88">
        <v>42.13</v>
      </c>
      <c r="Y40" s="88">
        <v>26.53</v>
      </c>
      <c r="Z40" s="88">
        <v>21.6</v>
      </c>
      <c r="AA40" s="88">
        <v>7.01</v>
      </c>
    </row>
    <row r="41" spans="1:27" x14ac:dyDescent="0.2">
      <c r="A41" s="88" t="s">
        <v>59</v>
      </c>
      <c r="B41" s="88">
        <v>45</v>
      </c>
      <c r="C41" s="88">
        <v>22</v>
      </c>
      <c r="D41" s="88">
        <v>26</v>
      </c>
      <c r="E41" s="88">
        <v>8</v>
      </c>
      <c r="F41" s="88">
        <v>2</v>
      </c>
      <c r="G41" s="88">
        <v>20</v>
      </c>
      <c r="H41" s="88">
        <v>2</v>
      </c>
      <c r="I41" s="88">
        <v>20</v>
      </c>
      <c r="K41" s="88" t="s">
        <v>59</v>
      </c>
      <c r="L41" s="88">
        <v>45</v>
      </c>
      <c r="M41" s="88">
        <v>22</v>
      </c>
      <c r="N41" s="88">
        <v>26</v>
      </c>
      <c r="O41" s="88">
        <v>8</v>
      </c>
      <c r="P41" s="88">
        <v>2</v>
      </c>
      <c r="Q41" s="88">
        <v>20</v>
      </c>
      <c r="W41" s="88" t="s">
        <v>59</v>
      </c>
      <c r="X41" s="88">
        <v>45</v>
      </c>
      <c r="Y41" s="88">
        <v>22</v>
      </c>
      <c r="Z41" s="88">
        <v>26</v>
      </c>
      <c r="AA41" s="88">
        <v>8</v>
      </c>
    </row>
    <row r="42" spans="1:27" ht="12.75" x14ac:dyDescent="0.2">
      <c r="A42" s="91" t="s">
        <v>60</v>
      </c>
    </row>
  </sheetData>
  <pageMargins left="0" right="0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AK42"/>
  <sheetViews>
    <sheetView showGridLines="0" tabSelected="1" topLeftCell="A2" zoomScaleNormal="100" workbookViewId="0">
      <selection activeCell="AA41" sqref="AA41"/>
    </sheetView>
  </sheetViews>
  <sheetFormatPr defaultRowHeight="12" x14ac:dyDescent="0.2"/>
  <cols>
    <col min="1" max="1" width="2.85546875" customWidth="1"/>
    <col min="2" max="2" width="33.7109375" customWidth="1"/>
    <col min="3" max="3" width="7.28515625" customWidth="1"/>
    <col min="4" max="4" width="11.140625" customWidth="1"/>
  </cols>
  <sheetData>
    <row r="6" spans="1:37" s="10" customFormat="1" ht="15.75" customHeight="1" x14ac:dyDescent="0.25">
      <c r="A6" s="147"/>
      <c r="B6" s="92" t="s">
        <v>92</v>
      </c>
      <c r="C6" s="93"/>
      <c r="D6" s="93"/>
      <c r="E6" s="93"/>
      <c r="F6" s="93"/>
      <c r="G6" s="93"/>
      <c r="H6" s="93"/>
      <c r="I6" s="93"/>
      <c r="J6" s="93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5"/>
      <c r="Y6" s="95"/>
      <c r="Z6" s="94"/>
      <c r="AA6" s="94"/>
      <c r="AB6" s="94"/>
      <c r="AC6" s="94"/>
      <c r="AD6" s="94"/>
    </row>
    <row r="7" spans="1:37" s="10" customFormat="1" ht="12.75" x14ac:dyDescent="0.2">
      <c r="A7" s="147"/>
      <c r="B7" s="96" t="s">
        <v>99</v>
      </c>
      <c r="C7" s="97"/>
      <c r="D7" s="98"/>
      <c r="E7" s="99">
        <v>1992</v>
      </c>
      <c r="F7" s="100">
        <v>1993</v>
      </c>
      <c r="G7" s="100">
        <v>1994</v>
      </c>
      <c r="H7" s="100">
        <v>1995</v>
      </c>
      <c r="I7" s="100">
        <v>1996</v>
      </c>
      <c r="J7" s="100">
        <v>1997</v>
      </c>
      <c r="K7" s="100">
        <v>1998</v>
      </c>
      <c r="L7" s="100">
        <v>1999</v>
      </c>
      <c r="M7" s="100">
        <v>2000</v>
      </c>
      <c r="N7" s="100">
        <v>2001</v>
      </c>
      <c r="O7" s="100">
        <v>2002</v>
      </c>
      <c r="P7" s="100">
        <v>2003</v>
      </c>
      <c r="Q7" s="100">
        <v>2004</v>
      </c>
      <c r="R7" s="100">
        <v>2005</v>
      </c>
      <c r="S7" s="100">
        <v>2006</v>
      </c>
      <c r="T7" s="100">
        <v>2007</v>
      </c>
      <c r="U7" s="100">
        <v>2008</v>
      </c>
      <c r="V7" s="100">
        <v>2009</v>
      </c>
      <c r="W7" s="100">
        <v>2010</v>
      </c>
      <c r="X7" s="100">
        <v>2011</v>
      </c>
      <c r="Y7" s="100">
        <v>2012</v>
      </c>
      <c r="Z7" s="100">
        <v>2013</v>
      </c>
      <c r="AA7" s="154">
        <v>2014</v>
      </c>
      <c r="AB7" s="94"/>
      <c r="AC7" s="94"/>
      <c r="AD7" s="94"/>
    </row>
    <row r="8" spans="1:37" s="10" customFormat="1" ht="12.75" x14ac:dyDescent="0.2">
      <c r="A8" s="147"/>
      <c r="B8" s="101" t="s">
        <v>61</v>
      </c>
      <c r="C8" s="102"/>
      <c r="D8" s="103"/>
      <c r="E8" s="155">
        <v>0</v>
      </c>
      <c r="F8" s="150">
        <v>0</v>
      </c>
      <c r="G8" s="150">
        <v>0</v>
      </c>
      <c r="H8" s="150">
        <v>0</v>
      </c>
      <c r="I8" s="150">
        <v>0</v>
      </c>
      <c r="J8" s="150">
        <v>0</v>
      </c>
      <c r="K8" s="150">
        <v>0</v>
      </c>
      <c r="L8" s="150">
        <v>0</v>
      </c>
      <c r="M8" s="150">
        <v>0</v>
      </c>
      <c r="N8" s="150">
        <v>0.1</v>
      </c>
      <c r="O8" s="150">
        <v>0.1</v>
      </c>
      <c r="P8" s="150">
        <v>0.1</v>
      </c>
      <c r="Q8" s="150">
        <v>0.1</v>
      </c>
      <c r="R8" s="150">
        <v>0.1</v>
      </c>
      <c r="S8" s="150">
        <v>0.1</v>
      </c>
      <c r="T8" s="150">
        <v>0.1</v>
      </c>
      <c r="U8" s="150">
        <v>0.1</v>
      </c>
      <c r="V8" s="150">
        <v>0.1</v>
      </c>
      <c r="W8" s="150">
        <v>0.1</v>
      </c>
      <c r="X8" s="150">
        <v>0.1</v>
      </c>
      <c r="Y8" s="150">
        <v>0.1</v>
      </c>
      <c r="Z8" s="150">
        <v>0.1</v>
      </c>
      <c r="AA8" s="156">
        <v>0.1</v>
      </c>
      <c r="AB8" s="94"/>
      <c r="AC8" s="94"/>
      <c r="AD8" s="94"/>
    </row>
    <row r="9" spans="1:37" s="10" customFormat="1" ht="12.75" x14ac:dyDescent="0.2">
      <c r="A9" s="147"/>
      <c r="B9" s="101"/>
      <c r="C9" s="102"/>
      <c r="D9" s="103"/>
      <c r="E9" s="157"/>
      <c r="F9" s="104"/>
      <c r="G9" s="104"/>
      <c r="H9" s="104"/>
      <c r="I9" s="104"/>
      <c r="J9" s="104"/>
      <c r="K9" s="104"/>
      <c r="L9" s="104"/>
      <c r="M9" s="104"/>
      <c r="N9" s="105"/>
      <c r="O9" s="106"/>
      <c r="P9" s="106"/>
      <c r="Q9" s="106"/>
      <c r="R9" s="106"/>
      <c r="S9" s="106"/>
      <c r="T9" s="106"/>
      <c r="U9" s="106"/>
      <c r="V9" s="106"/>
      <c r="W9" s="106"/>
      <c r="X9" s="106"/>
      <c r="Y9" s="106"/>
      <c r="Z9" s="102"/>
      <c r="AA9" s="103"/>
      <c r="AB9" s="94"/>
      <c r="AC9" s="94"/>
      <c r="AD9" s="94"/>
    </row>
    <row r="10" spans="1:37" s="10" customFormat="1" ht="12.75" x14ac:dyDescent="0.2">
      <c r="A10" s="147"/>
      <c r="B10" s="101"/>
      <c r="C10" s="102"/>
      <c r="D10" s="103"/>
      <c r="E10" s="157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74" t="s">
        <v>98</v>
      </c>
      <c r="R10" s="102"/>
      <c r="S10" s="102"/>
      <c r="T10" s="102"/>
      <c r="U10" s="102"/>
      <c r="V10" s="102"/>
      <c r="W10" s="102"/>
      <c r="X10" s="102"/>
      <c r="Y10" s="102"/>
      <c r="Z10" s="102"/>
      <c r="AA10" s="103"/>
      <c r="AB10" s="94"/>
      <c r="AC10" s="94"/>
      <c r="AD10" s="94"/>
    </row>
    <row r="11" spans="1:37" s="148" customFormat="1" ht="12.75" x14ac:dyDescent="0.2">
      <c r="A11" s="147"/>
      <c r="B11" s="107" t="s">
        <v>96</v>
      </c>
      <c r="C11" s="102"/>
      <c r="D11" s="103"/>
      <c r="E11" s="157"/>
      <c r="F11" s="104"/>
      <c r="G11" s="104"/>
      <c r="H11" s="104"/>
      <c r="I11" s="104"/>
      <c r="J11" s="104"/>
      <c r="K11" s="104"/>
      <c r="L11" s="104"/>
      <c r="M11" s="104"/>
      <c r="N11" s="104"/>
      <c r="O11" s="104"/>
      <c r="P11" s="104"/>
      <c r="Q11" s="174"/>
      <c r="R11" s="102"/>
      <c r="S11" s="102"/>
      <c r="T11" s="102"/>
      <c r="U11" s="108" t="s">
        <v>62</v>
      </c>
      <c r="V11" s="102"/>
      <c r="W11" s="102"/>
      <c r="X11" s="102"/>
      <c r="Y11" s="102"/>
      <c r="Z11" s="102"/>
      <c r="AA11" s="103"/>
      <c r="AB11" s="127"/>
      <c r="AC11" s="127"/>
      <c r="AD11" s="127"/>
      <c r="AG11" s="10"/>
      <c r="AH11" s="10"/>
      <c r="AI11" s="10"/>
      <c r="AJ11" s="10"/>
      <c r="AK11" s="10"/>
    </row>
    <row r="12" spans="1:37" s="10" customFormat="1" ht="12.75" x14ac:dyDescent="0.2">
      <c r="A12" s="147"/>
      <c r="B12" s="109" t="s">
        <v>63</v>
      </c>
      <c r="C12" s="110"/>
      <c r="D12" s="111"/>
      <c r="E12" s="158"/>
      <c r="F12" s="112"/>
      <c r="G12" s="112"/>
      <c r="H12" s="112"/>
      <c r="I12" s="102"/>
      <c r="J12" s="102"/>
      <c r="K12" s="102"/>
      <c r="L12" s="102"/>
      <c r="M12" s="102"/>
      <c r="N12" s="113"/>
      <c r="O12" s="114"/>
      <c r="P12" s="102"/>
      <c r="Q12" s="102" t="s">
        <v>64</v>
      </c>
      <c r="R12" s="102"/>
      <c r="S12" s="102"/>
      <c r="T12" s="102"/>
      <c r="U12" s="102" t="s">
        <v>65</v>
      </c>
      <c r="V12" s="102"/>
      <c r="W12" s="102"/>
      <c r="X12" s="102"/>
      <c r="Y12" s="102"/>
      <c r="Z12" s="102"/>
      <c r="AA12" s="103"/>
      <c r="AB12" s="94"/>
      <c r="AC12" s="94"/>
      <c r="AD12" s="94"/>
    </row>
    <row r="13" spans="1:37" s="10" customFormat="1" ht="12.75" x14ac:dyDescent="0.2">
      <c r="A13" s="147"/>
      <c r="B13" s="101" t="s">
        <v>66</v>
      </c>
      <c r="C13" s="102" t="s">
        <v>67</v>
      </c>
      <c r="D13" s="111"/>
      <c r="E13" s="158"/>
      <c r="F13" s="112"/>
      <c r="G13" s="112"/>
      <c r="H13" s="112"/>
      <c r="I13" s="102"/>
      <c r="J13" s="102"/>
      <c r="K13" s="102"/>
      <c r="L13" s="102"/>
      <c r="M13" s="102"/>
      <c r="N13" s="113"/>
      <c r="O13" s="114"/>
      <c r="P13" s="102"/>
      <c r="Q13" s="102"/>
      <c r="R13" s="102"/>
      <c r="S13" s="102"/>
      <c r="T13" s="102"/>
      <c r="U13" s="102"/>
      <c r="V13" s="102"/>
      <c r="W13" s="102"/>
      <c r="X13" s="115">
        <v>52.19</v>
      </c>
      <c r="Y13" s="115">
        <v>43.18</v>
      </c>
      <c r="Z13" s="115">
        <v>44.3</v>
      </c>
      <c r="AA13" s="159">
        <v>47.09</v>
      </c>
      <c r="AB13" s="94"/>
      <c r="AC13" s="94"/>
      <c r="AD13" s="94"/>
    </row>
    <row r="14" spans="1:37" s="10" customFormat="1" ht="12.75" x14ac:dyDescent="0.2">
      <c r="A14" s="147"/>
      <c r="B14" s="101" t="s">
        <v>66</v>
      </c>
      <c r="C14" s="102" t="s">
        <v>68</v>
      </c>
      <c r="D14" s="103"/>
      <c r="E14" s="160">
        <v>0</v>
      </c>
      <c r="F14" s="115">
        <v>0</v>
      </c>
      <c r="G14" s="115">
        <v>0</v>
      </c>
      <c r="H14" s="115">
        <v>0</v>
      </c>
      <c r="I14" s="115">
        <f>18.6</f>
        <v>18.600000000000001</v>
      </c>
      <c r="J14" s="115">
        <f>18.6</f>
        <v>18.600000000000001</v>
      </c>
      <c r="K14" s="115">
        <v>21.8</v>
      </c>
      <c r="L14" s="115">
        <v>22.8</v>
      </c>
      <c r="M14" s="115">
        <v>24</v>
      </c>
      <c r="N14" s="115">
        <v>24.42</v>
      </c>
      <c r="O14" s="115">
        <f>26.92*6/12+29.64*6/12</f>
        <v>28.28</v>
      </c>
      <c r="P14" s="115">
        <v>33.409999999999997</v>
      </c>
      <c r="Q14" s="116">
        <f>51.47/110%</f>
        <v>46.790909090909089</v>
      </c>
      <c r="R14" s="115">
        <v>47.4</v>
      </c>
      <c r="S14" s="115">
        <v>47.4</v>
      </c>
      <c r="T14" s="115">
        <v>45.4</v>
      </c>
      <c r="U14" s="115">
        <f>(41.4*9+42.17*3)/12</f>
        <v>41.592499999999994</v>
      </c>
      <c r="V14" s="115">
        <v>42.17</v>
      </c>
      <c r="W14" s="115">
        <f>0.4822*365/4</f>
        <v>44.000750000000004</v>
      </c>
      <c r="X14" s="161">
        <f>X13*365/400</f>
        <v>47.623374999999996</v>
      </c>
      <c r="Y14" s="161">
        <f>Y13*365/400</f>
        <v>39.40175</v>
      </c>
      <c r="Z14" s="161">
        <f>Z13*365/400</f>
        <v>40.423749999999998</v>
      </c>
      <c r="AA14" s="162">
        <f>AA13*365/400</f>
        <v>42.969625000000008</v>
      </c>
      <c r="AB14" s="94"/>
      <c r="AC14" s="94"/>
      <c r="AD14" s="94"/>
    </row>
    <row r="15" spans="1:37" s="10" customFormat="1" ht="12.75" x14ac:dyDescent="0.2">
      <c r="A15" s="147"/>
      <c r="B15" s="101" t="s">
        <v>69</v>
      </c>
      <c r="C15" s="102" t="s">
        <v>70</v>
      </c>
      <c r="D15" s="103"/>
      <c r="E15" s="160"/>
      <c r="F15" s="115"/>
      <c r="G15" s="115"/>
      <c r="H15" s="115"/>
      <c r="I15" s="127"/>
      <c r="J15" s="127"/>
      <c r="K15" s="127"/>
      <c r="L15" s="127"/>
      <c r="M15" s="127"/>
      <c r="N15" s="127"/>
      <c r="O15" s="127"/>
      <c r="P15" s="127"/>
      <c r="Q15" s="116"/>
      <c r="R15" s="115"/>
      <c r="S15" s="115"/>
      <c r="T15" s="115"/>
      <c r="U15" s="117"/>
      <c r="V15" s="117"/>
      <c r="W15" s="117"/>
      <c r="X15" s="118"/>
      <c r="Y15" s="102"/>
      <c r="Z15" s="127"/>
      <c r="AA15" s="119"/>
      <c r="AB15" s="94"/>
      <c r="AC15" s="94"/>
      <c r="AD15" s="94"/>
    </row>
    <row r="16" spans="1:37" s="10" customFormat="1" ht="12.75" x14ac:dyDescent="0.2">
      <c r="A16" s="147"/>
      <c r="B16" s="101" t="s">
        <v>71</v>
      </c>
      <c r="C16" s="94"/>
      <c r="D16" s="119"/>
      <c r="E16" s="160"/>
      <c r="F16" s="115"/>
      <c r="G16" s="115"/>
      <c r="H16" s="115"/>
      <c r="I16" s="115"/>
      <c r="J16" s="115"/>
      <c r="K16" s="115"/>
      <c r="L16" s="115"/>
      <c r="M16" s="115"/>
      <c r="N16" s="115"/>
      <c r="O16" s="115"/>
      <c r="P16" s="115"/>
      <c r="Q16" s="127"/>
      <c r="R16" s="127"/>
      <c r="S16" s="127"/>
      <c r="T16" s="127"/>
      <c r="U16" s="117"/>
      <c r="V16" s="117"/>
      <c r="W16" s="117"/>
      <c r="X16" s="118"/>
      <c r="Y16" s="102"/>
      <c r="Z16" s="127"/>
      <c r="AA16" s="119"/>
      <c r="AB16" s="94"/>
      <c r="AC16" s="94"/>
      <c r="AD16" s="94"/>
    </row>
    <row r="17" spans="1:37" s="10" customFormat="1" ht="12.75" x14ac:dyDescent="0.2">
      <c r="A17" s="147"/>
      <c r="B17" s="101" t="s">
        <v>72</v>
      </c>
      <c r="C17" s="102"/>
      <c r="D17" s="103"/>
      <c r="E17" s="160"/>
      <c r="F17" s="120"/>
      <c r="G17" s="115"/>
      <c r="H17" s="115"/>
      <c r="I17" s="115"/>
      <c r="J17" s="115"/>
      <c r="K17" s="115"/>
      <c r="L17" s="115"/>
      <c r="M17" s="115"/>
      <c r="N17" s="115"/>
      <c r="O17" s="115"/>
      <c r="P17" s="115"/>
      <c r="Q17" s="127"/>
      <c r="R17" s="127"/>
      <c r="S17" s="127"/>
      <c r="T17" s="127"/>
      <c r="U17" s="117"/>
      <c r="V17" s="117"/>
      <c r="W17" s="117"/>
      <c r="X17" s="118"/>
      <c r="Y17" s="102"/>
      <c r="Z17" s="127"/>
      <c r="AA17" s="119"/>
      <c r="AB17" s="94"/>
      <c r="AC17" s="94"/>
      <c r="AD17" s="94"/>
    </row>
    <row r="18" spans="1:37" s="10" customFormat="1" ht="12.75" x14ac:dyDescent="0.2">
      <c r="A18" s="147"/>
      <c r="B18" s="101" t="s">
        <v>73</v>
      </c>
      <c r="C18" s="102" t="str">
        <f>C14</f>
        <v>$/qr</v>
      </c>
      <c r="D18" s="103"/>
      <c r="E18" s="160">
        <v>15</v>
      </c>
      <c r="F18" s="115">
        <v>15</v>
      </c>
      <c r="G18" s="115">
        <v>15</v>
      </c>
      <c r="H18" s="115">
        <v>15</v>
      </c>
      <c r="I18" s="115">
        <v>0</v>
      </c>
      <c r="J18" s="115">
        <v>0</v>
      </c>
      <c r="K18" s="115">
        <v>0</v>
      </c>
      <c r="L18" s="115">
        <v>0</v>
      </c>
      <c r="M18" s="115">
        <v>0</v>
      </c>
      <c r="N18" s="115">
        <v>0</v>
      </c>
      <c r="O18" s="115">
        <v>0</v>
      </c>
      <c r="P18" s="115">
        <v>0</v>
      </c>
      <c r="Q18" s="115">
        <v>0</v>
      </c>
      <c r="R18" s="115">
        <v>0</v>
      </c>
      <c r="S18" s="115">
        <v>0</v>
      </c>
      <c r="T18" s="115">
        <v>0</v>
      </c>
      <c r="U18" s="115">
        <v>0</v>
      </c>
      <c r="V18" s="115">
        <v>0</v>
      </c>
      <c r="W18" s="115">
        <v>0</v>
      </c>
      <c r="X18" s="115">
        <v>0</v>
      </c>
      <c r="Y18" s="115">
        <v>0</v>
      </c>
      <c r="Z18" s="115">
        <v>0</v>
      </c>
      <c r="AA18" s="159">
        <v>0</v>
      </c>
      <c r="AB18" s="94"/>
      <c r="AC18" s="94"/>
      <c r="AD18" s="94"/>
    </row>
    <row r="19" spans="1:37" s="10" customFormat="1" ht="12.75" x14ac:dyDescent="0.2">
      <c r="A19" s="147"/>
      <c r="B19" s="101" t="s">
        <v>74</v>
      </c>
      <c r="C19" s="102" t="str">
        <f>C15</f>
        <v>c/MJ</v>
      </c>
      <c r="D19" s="119"/>
      <c r="E19" s="160">
        <v>3.4792000000000001</v>
      </c>
      <c r="F19" s="115">
        <v>3.4792000000000001</v>
      </c>
      <c r="G19" s="115">
        <f>7/12*3.4792+5/12*3.2</f>
        <v>3.3628666666666671</v>
      </c>
      <c r="H19" s="121">
        <f>3/12*3.2+5/12*3.264+4/12*3.4109</f>
        <v>3.2969666666666666</v>
      </c>
      <c r="I19" s="115">
        <f>0.938*7/12+0.9615*5/12</f>
        <v>0.9477916666666667</v>
      </c>
      <c r="J19" s="115">
        <f>0.9952*5/12+0.9615*7/12</f>
        <v>0.97554166666666675</v>
      </c>
      <c r="K19" s="115">
        <v>0.99519999999999997</v>
      </c>
      <c r="L19" s="115">
        <v>1.0274000000000001</v>
      </c>
      <c r="M19" s="115">
        <f>1.0595/2+1.0859/2</f>
        <v>1.0727000000000002</v>
      </c>
      <c r="N19" s="115">
        <v>1.1051</v>
      </c>
      <c r="O19" s="115">
        <f>1.1371*6/12+1.1667*6/12</f>
        <v>1.1518999999999999</v>
      </c>
      <c r="P19" s="115">
        <v>1.2130000000000001</v>
      </c>
      <c r="Q19" s="122">
        <f>1.187/110%</f>
        <v>1.0790909090909091</v>
      </c>
      <c r="R19" s="122">
        <v>1.1439999999999999</v>
      </c>
      <c r="S19" s="122">
        <v>1.2090000000000001</v>
      </c>
      <c r="T19" s="122">
        <v>1.306</v>
      </c>
      <c r="U19" s="122">
        <f>(1.508*9+1.611*3)/12</f>
        <v>1.5337500000000002</v>
      </c>
      <c r="V19" s="122">
        <v>1.611</v>
      </c>
      <c r="W19" s="122">
        <v>1.681</v>
      </c>
      <c r="X19" s="122">
        <v>1.772</v>
      </c>
      <c r="Y19" s="122">
        <v>2.4910000000000001</v>
      </c>
      <c r="Z19" s="122">
        <v>2.9670000000000001</v>
      </c>
      <c r="AA19" s="163">
        <v>3.2869999999999999</v>
      </c>
      <c r="AB19" s="94"/>
      <c r="AC19" s="149"/>
      <c r="AD19" s="94"/>
    </row>
    <row r="20" spans="1:37" s="10" customFormat="1" ht="12.75" x14ac:dyDescent="0.2">
      <c r="A20" s="147"/>
      <c r="B20" s="101" t="s">
        <v>75</v>
      </c>
      <c r="C20" s="102" t="s">
        <v>76</v>
      </c>
      <c r="D20" s="119"/>
      <c r="E20" s="164">
        <v>600</v>
      </c>
      <c r="F20" s="123">
        <f>E20</f>
        <v>600</v>
      </c>
      <c r="G20" s="123">
        <f>F20</f>
        <v>600</v>
      </c>
      <c r="H20" s="124">
        <f>G20</f>
        <v>600</v>
      </c>
      <c r="I20" s="115"/>
      <c r="J20" s="115"/>
      <c r="K20" s="115"/>
      <c r="L20" s="115"/>
      <c r="M20" s="115"/>
      <c r="N20" s="115"/>
      <c r="O20" s="115"/>
      <c r="P20" s="115"/>
      <c r="Q20" s="125">
        <v>4500</v>
      </c>
      <c r="R20" s="125">
        <v>4500</v>
      </c>
      <c r="S20" s="125">
        <v>4500</v>
      </c>
      <c r="T20" s="125">
        <v>4500</v>
      </c>
      <c r="U20" s="125">
        <v>5500</v>
      </c>
      <c r="V20" s="125">
        <v>5500</v>
      </c>
      <c r="W20" s="125">
        <v>5500</v>
      </c>
      <c r="X20" s="125">
        <f>41.096*365/4</f>
        <v>3750.0099999999998</v>
      </c>
      <c r="Y20" s="125">
        <f>41.096*365/4</f>
        <v>3750.0099999999998</v>
      </c>
      <c r="Z20" s="125">
        <f>41.096*365/4</f>
        <v>3750.0099999999998</v>
      </c>
      <c r="AA20" s="126">
        <f>41.096*365/4</f>
        <v>3750.0099999999998</v>
      </c>
      <c r="AB20" s="94"/>
      <c r="AC20" s="149"/>
      <c r="AD20" s="94"/>
    </row>
    <row r="21" spans="1:37" s="10" customFormat="1" ht="12.75" x14ac:dyDescent="0.2">
      <c r="A21" s="147"/>
      <c r="B21" s="101" t="s">
        <v>77</v>
      </c>
      <c r="C21" s="102" t="str">
        <f>C19</f>
        <v>c/MJ</v>
      </c>
      <c r="D21" s="119"/>
      <c r="E21" s="160">
        <v>0.9839</v>
      </c>
      <c r="F21" s="115">
        <f>5/12*3.4792+7/12*0.9839</f>
        <v>2.0236083333333332</v>
      </c>
      <c r="G21" s="115">
        <f>G19</f>
        <v>3.3628666666666671</v>
      </c>
      <c r="H21" s="121">
        <f>3/12*3.2+5/12*3.264+4/12*3.4109</f>
        <v>3.2969666666666666</v>
      </c>
      <c r="I21" s="115"/>
      <c r="J21" s="115"/>
      <c r="K21" s="115"/>
      <c r="L21" s="115"/>
      <c r="M21" s="115"/>
      <c r="N21" s="115"/>
      <c r="O21" s="115"/>
      <c r="P21" s="115"/>
      <c r="Q21" s="122">
        <f>1.34/110%</f>
        <v>1.2181818181818183</v>
      </c>
      <c r="R21" s="122">
        <v>1.242</v>
      </c>
      <c r="S21" s="122">
        <v>1.288</v>
      </c>
      <c r="T21" s="122">
        <v>1.357</v>
      </c>
      <c r="U21" s="122">
        <f>(1.408*9+1.509*3)/12</f>
        <v>1.4332499999999999</v>
      </c>
      <c r="V21" s="122">
        <v>1.5089999999999999</v>
      </c>
      <c r="W21" s="122">
        <v>1.575</v>
      </c>
      <c r="X21" s="122">
        <v>1.6970000000000001</v>
      </c>
      <c r="Y21" s="122">
        <v>1.4990000000000001</v>
      </c>
      <c r="Z21" s="122">
        <v>1.758</v>
      </c>
      <c r="AA21" s="163">
        <v>1.925</v>
      </c>
      <c r="AB21" s="94"/>
      <c r="AC21" s="94"/>
      <c r="AD21" s="94"/>
    </row>
    <row r="22" spans="1:37" s="10" customFormat="1" ht="12.75" x14ac:dyDescent="0.2">
      <c r="A22" s="147"/>
      <c r="B22" s="101" t="s">
        <v>78</v>
      </c>
      <c r="C22" s="102" t="s">
        <v>76</v>
      </c>
      <c r="D22" s="126"/>
      <c r="E22" s="164">
        <f>E20+150</f>
        <v>750</v>
      </c>
      <c r="F22" s="123">
        <f>F20+150</f>
        <v>750</v>
      </c>
      <c r="G22" s="123">
        <f>G20+150</f>
        <v>750</v>
      </c>
      <c r="H22" s="124">
        <f>H20+150</f>
        <v>750</v>
      </c>
      <c r="I22" s="115"/>
      <c r="J22" s="115"/>
      <c r="K22" s="115"/>
      <c r="L22" s="115"/>
      <c r="M22" s="115"/>
      <c r="N22" s="115"/>
      <c r="O22" s="115"/>
      <c r="P22" s="115"/>
      <c r="Q22" s="115"/>
      <c r="R22" s="115"/>
      <c r="S22" s="127"/>
      <c r="T22" s="127"/>
      <c r="U22" s="127"/>
      <c r="V22" s="127"/>
      <c r="W22" s="127"/>
      <c r="X22" s="125">
        <f>X20+(49.315*365/4)</f>
        <v>8250.0037499999999</v>
      </c>
      <c r="Y22" s="125">
        <f>Y20+(49.315*365/4)</f>
        <v>8250.0037499999999</v>
      </c>
      <c r="Z22" s="125">
        <f>Z20+(49.315*365/4)</f>
        <v>8250.0037499999999</v>
      </c>
      <c r="AA22" s="126">
        <f>AA20+(49.315*365/4)</f>
        <v>8250.0037499999999</v>
      </c>
      <c r="AB22" s="94"/>
      <c r="AC22" s="94"/>
      <c r="AD22" s="94"/>
    </row>
    <row r="23" spans="1:37" s="10" customFormat="1" ht="12.75" x14ac:dyDescent="0.2">
      <c r="A23" s="147"/>
      <c r="B23" s="101" t="s">
        <v>72</v>
      </c>
      <c r="C23" s="102" t="str">
        <f>C21</f>
        <v>c/MJ</v>
      </c>
      <c r="D23" s="103"/>
      <c r="E23" s="160">
        <v>0.9839</v>
      </c>
      <c r="F23" s="115">
        <f>5/12*0.88+7/12*0.9839</f>
        <v>0.94060833333333338</v>
      </c>
      <c r="G23" s="115">
        <v>0.88</v>
      </c>
      <c r="H23" s="121">
        <f>3/12*0.88+5/12*0.8976+4/12*0.938</f>
        <v>0.90666666666666662</v>
      </c>
      <c r="I23" s="115"/>
      <c r="J23" s="115"/>
      <c r="K23" s="115"/>
      <c r="L23" s="115"/>
      <c r="M23" s="115"/>
      <c r="N23" s="115"/>
      <c r="O23" s="120"/>
      <c r="P23" s="115"/>
      <c r="Q23" s="128"/>
      <c r="R23" s="128"/>
      <c r="S23" s="128"/>
      <c r="T23" s="128"/>
      <c r="U23" s="127"/>
      <c r="V23" s="127"/>
      <c r="W23" s="127"/>
      <c r="X23" s="122">
        <v>1.64</v>
      </c>
      <c r="Y23" s="122">
        <v>1.478</v>
      </c>
      <c r="Z23" s="122">
        <v>1.734</v>
      </c>
      <c r="AA23" s="163">
        <v>1.8979999999999999</v>
      </c>
      <c r="AB23" s="94"/>
      <c r="AC23" s="94"/>
      <c r="AD23" s="94"/>
    </row>
    <row r="24" spans="1:37" s="10" customFormat="1" ht="9.75" customHeight="1" x14ac:dyDescent="0.2">
      <c r="A24" s="147"/>
      <c r="B24" s="101"/>
      <c r="C24" s="102"/>
      <c r="D24" s="103"/>
      <c r="E24" s="101"/>
      <c r="F24" s="102"/>
      <c r="G24" s="102"/>
      <c r="H24" s="129"/>
      <c r="I24" s="118"/>
      <c r="J24" s="118"/>
      <c r="K24" s="118"/>
      <c r="L24" s="118"/>
      <c r="M24" s="118"/>
      <c r="N24" s="118"/>
      <c r="O24" s="118"/>
      <c r="P24" s="102"/>
      <c r="Q24" s="127"/>
      <c r="R24" s="127"/>
      <c r="S24" s="127"/>
      <c r="T24" s="127"/>
      <c r="U24" s="102"/>
      <c r="V24" s="102"/>
      <c r="W24" s="102"/>
      <c r="X24" s="102"/>
      <c r="Y24" s="102"/>
      <c r="Z24" s="127"/>
      <c r="AA24" s="119"/>
      <c r="AB24" s="94"/>
      <c r="AC24" s="94"/>
      <c r="AD24" s="94"/>
    </row>
    <row r="25" spans="1:37" s="148" customFormat="1" ht="12.75" x14ac:dyDescent="0.2">
      <c r="A25" s="147"/>
      <c r="B25" s="107" t="s">
        <v>97</v>
      </c>
      <c r="C25" s="102"/>
      <c r="D25" s="103"/>
      <c r="E25" s="157"/>
      <c r="F25" s="104"/>
      <c r="G25" s="104"/>
      <c r="H25" s="104"/>
      <c r="I25" s="104"/>
      <c r="J25" s="104"/>
      <c r="K25" s="104"/>
      <c r="L25" s="104"/>
      <c r="M25" s="104"/>
      <c r="N25" s="104"/>
      <c r="O25" s="104"/>
      <c r="P25" s="104"/>
      <c r="Q25" s="102"/>
      <c r="R25" s="102"/>
      <c r="S25" s="102"/>
      <c r="T25" s="102"/>
      <c r="U25" s="108"/>
      <c r="V25" s="102"/>
      <c r="W25" s="102"/>
      <c r="X25" s="102"/>
      <c r="Y25" s="102"/>
      <c r="Z25" s="102"/>
      <c r="AA25" s="103"/>
      <c r="AB25" s="127"/>
      <c r="AC25" s="127"/>
      <c r="AD25" s="127"/>
      <c r="AG25" s="10"/>
      <c r="AH25" s="10"/>
      <c r="AI25" s="10"/>
      <c r="AJ25" s="10"/>
      <c r="AK25" s="10"/>
    </row>
    <row r="26" spans="1:37" s="10" customFormat="1" ht="18" customHeight="1" x14ac:dyDescent="0.2">
      <c r="A26" s="147"/>
      <c r="B26" s="130" t="s">
        <v>79</v>
      </c>
      <c r="C26" s="131" t="s">
        <v>80</v>
      </c>
      <c r="D26" s="132">
        <v>20000</v>
      </c>
      <c r="E26" s="165">
        <f>D26</f>
        <v>20000</v>
      </c>
      <c r="F26" s="133">
        <f>E26</f>
        <v>20000</v>
      </c>
      <c r="G26" s="133">
        <f>F26</f>
        <v>20000</v>
      </c>
      <c r="H26" s="133">
        <f>G26</f>
        <v>20000</v>
      </c>
      <c r="I26" s="133">
        <f>H26</f>
        <v>20000</v>
      </c>
      <c r="J26" s="133">
        <f t="shared" ref="J26:AA26" si="0">I26</f>
        <v>20000</v>
      </c>
      <c r="K26" s="133">
        <f t="shared" si="0"/>
        <v>20000</v>
      </c>
      <c r="L26" s="133">
        <f t="shared" si="0"/>
        <v>20000</v>
      </c>
      <c r="M26" s="133">
        <f t="shared" si="0"/>
        <v>20000</v>
      </c>
      <c r="N26" s="133">
        <f t="shared" si="0"/>
        <v>20000</v>
      </c>
      <c r="O26" s="133">
        <f t="shared" si="0"/>
        <v>20000</v>
      </c>
      <c r="P26" s="133">
        <f t="shared" si="0"/>
        <v>20000</v>
      </c>
      <c r="Q26" s="133">
        <f t="shared" si="0"/>
        <v>20000</v>
      </c>
      <c r="R26" s="133">
        <f t="shared" si="0"/>
        <v>20000</v>
      </c>
      <c r="S26" s="133">
        <f t="shared" si="0"/>
        <v>20000</v>
      </c>
      <c r="T26" s="133">
        <f t="shared" si="0"/>
        <v>20000</v>
      </c>
      <c r="U26" s="133">
        <f t="shared" si="0"/>
        <v>20000</v>
      </c>
      <c r="V26" s="133">
        <f t="shared" si="0"/>
        <v>20000</v>
      </c>
      <c r="W26" s="133">
        <f t="shared" si="0"/>
        <v>20000</v>
      </c>
      <c r="X26" s="133">
        <f t="shared" si="0"/>
        <v>20000</v>
      </c>
      <c r="Y26" s="133">
        <f t="shared" si="0"/>
        <v>20000</v>
      </c>
      <c r="Z26" s="133">
        <f t="shared" si="0"/>
        <v>20000</v>
      </c>
      <c r="AA26" s="166">
        <f t="shared" si="0"/>
        <v>20000</v>
      </c>
      <c r="AB26" s="94"/>
      <c r="AC26" s="94"/>
      <c r="AD26" s="94"/>
    </row>
    <row r="27" spans="1:37" s="10" customFormat="1" ht="14.25" customHeight="1" x14ac:dyDescent="0.2">
      <c r="A27" s="147"/>
      <c r="B27" s="130" t="s">
        <v>81</v>
      </c>
      <c r="C27" s="102"/>
      <c r="D27" s="103"/>
      <c r="E27" s="165">
        <f>E26/4</f>
        <v>5000</v>
      </c>
      <c r="F27" s="133">
        <f>F26/4</f>
        <v>5000</v>
      </c>
      <c r="G27" s="133">
        <f>G26/4</f>
        <v>5000</v>
      </c>
      <c r="H27" s="133">
        <f>H26/4</f>
        <v>5000</v>
      </c>
      <c r="I27" s="133">
        <f t="shared" ref="I27:T27" si="1">I26/4</f>
        <v>5000</v>
      </c>
      <c r="J27" s="133">
        <f t="shared" si="1"/>
        <v>5000</v>
      </c>
      <c r="K27" s="133">
        <f t="shared" si="1"/>
        <v>5000</v>
      </c>
      <c r="L27" s="133">
        <f t="shared" si="1"/>
        <v>5000</v>
      </c>
      <c r="M27" s="133">
        <f t="shared" si="1"/>
        <v>5000</v>
      </c>
      <c r="N27" s="133">
        <f t="shared" si="1"/>
        <v>5000</v>
      </c>
      <c r="O27" s="133">
        <f t="shared" si="1"/>
        <v>5000</v>
      </c>
      <c r="P27" s="133">
        <f t="shared" si="1"/>
        <v>5000</v>
      </c>
      <c r="Q27" s="133">
        <f t="shared" si="1"/>
        <v>5000</v>
      </c>
      <c r="R27" s="133">
        <f t="shared" si="1"/>
        <v>5000</v>
      </c>
      <c r="S27" s="133">
        <f t="shared" si="1"/>
        <v>5000</v>
      </c>
      <c r="T27" s="133">
        <f t="shared" si="1"/>
        <v>5000</v>
      </c>
      <c r="U27" s="133">
        <f t="shared" ref="U27:Z27" si="2">U26/4</f>
        <v>5000</v>
      </c>
      <c r="V27" s="133">
        <f t="shared" si="2"/>
        <v>5000</v>
      </c>
      <c r="W27" s="133">
        <f t="shared" si="2"/>
        <v>5000</v>
      </c>
      <c r="X27" s="133">
        <f t="shared" si="2"/>
        <v>5000</v>
      </c>
      <c r="Y27" s="133">
        <f t="shared" si="2"/>
        <v>5000</v>
      </c>
      <c r="Z27" s="133">
        <f t="shared" si="2"/>
        <v>5000</v>
      </c>
      <c r="AA27" s="166">
        <f t="shared" ref="AA27" si="3">AA26/4</f>
        <v>5000</v>
      </c>
      <c r="AB27" s="94"/>
      <c r="AC27" s="94"/>
      <c r="AD27" s="94"/>
    </row>
    <row r="28" spans="1:37" s="10" customFormat="1" ht="12.75" x14ac:dyDescent="0.2">
      <c r="A28" s="147"/>
      <c r="B28" s="134" t="s">
        <v>82</v>
      </c>
      <c r="C28" s="102"/>
      <c r="D28" s="103"/>
      <c r="E28" s="165">
        <f>MIN(E27,E$20)</f>
        <v>600</v>
      </c>
      <c r="F28" s="133">
        <f>MIN(F27,F$20)</f>
        <v>600</v>
      </c>
      <c r="G28" s="133">
        <f>MIN(G27,G$20)</f>
        <v>600</v>
      </c>
      <c r="H28" s="135">
        <f>MIN(H27,H$20)</f>
        <v>600</v>
      </c>
      <c r="I28" s="133">
        <f t="shared" ref="I28:P28" si="4">I27</f>
        <v>5000</v>
      </c>
      <c r="J28" s="133">
        <f t="shared" si="4"/>
        <v>5000</v>
      </c>
      <c r="K28" s="133">
        <f t="shared" si="4"/>
        <v>5000</v>
      </c>
      <c r="L28" s="133">
        <f t="shared" si="4"/>
        <v>5000</v>
      </c>
      <c r="M28" s="133">
        <f t="shared" si="4"/>
        <v>5000</v>
      </c>
      <c r="N28" s="133">
        <f t="shared" si="4"/>
        <v>5000</v>
      </c>
      <c r="O28" s="133">
        <f t="shared" si="4"/>
        <v>5000</v>
      </c>
      <c r="P28" s="136">
        <f t="shared" si="4"/>
        <v>5000</v>
      </c>
      <c r="Q28" s="133">
        <f t="shared" ref="Q28:Y28" si="5">MIN(Q27,Q$20)</f>
        <v>4500</v>
      </c>
      <c r="R28" s="133">
        <f t="shared" si="5"/>
        <v>4500</v>
      </c>
      <c r="S28" s="133">
        <f t="shared" si="5"/>
        <v>4500</v>
      </c>
      <c r="T28" s="133">
        <f t="shared" si="5"/>
        <v>4500</v>
      </c>
      <c r="U28" s="133">
        <f t="shared" si="5"/>
        <v>5000</v>
      </c>
      <c r="V28" s="133">
        <f t="shared" si="5"/>
        <v>5000</v>
      </c>
      <c r="W28" s="133">
        <f t="shared" si="5"/>
        <v>5000</v>
      </c>
      <c r="X28" s="133">
        <f t="shared" si="5"/>
        <v>3750.0099999999998</v>
      </c>
      <c r="Y28" s="133">
        <f t="shared" si="5"/>
        <v>3750.0099999999998</v>
      </c>
      <c r="Z28" s="133">
        <f t="shared" ref="Z28" si="6">MIN(Z27,Z$20)</f>
        <v>3750.0099999999998</v>
      </c>
      <c r="AA28" s="166">
        <f t="shared" ref="AA28" si="7">MIN(AA27,AA$20)</f>
        <v>3750.0099999999998</v>
      </c>
      <c r="AB28" s="94"/>
      <c r="AC28" s="94"/>
      <c r="AD28" s="94"/>
    </row>
    <row r="29" spans="1:37" s="10" customFormat="1" ht="12.75" x14ac:dyDescent="0.2">
      <c r="A29" s="94"/>
      <c r="B29" s="134" t="s">
        <v>83</v>
      </c>
      <c r="C29" s="102"/>
      <c r="D29" s="103"/>
      <c r="E29" s="165">
        <f>IF(E27-E28&lt;=E$20,0,MIN(E$22-E$20,E27-E28))</f>
        <v>150</v>
      </c>
      <c r="F29" s="133">
        <f>IF(F27-F28&lt;=F$20,0,MIN(F$22-F$20,F27-F28))</f>
        <v>150</v>
      </c>
      <c r="G29" s="133">
        <f>IF(G27-G28&lt;=G$20,0,MIN(G$22-G$20,G27-G28))</f>
        <v>150</v>
      </c>
      <c r="H29" s="135">
        <f>IF(H27-H28&lt;=H$20,0,MIN(H$22-H$20,H27-H28))</f>
        <v>150</v>
      </c>
      <c r="I29" s="133"/>
      <c r="J29" s="133"/>
      <c r="K29" s="133"/>
      <c r="L29" s="133"/>
      <c r="M29" s="133"/>
      <c r="N29" s="133"/>
      <c r="O29" s="133"/>
      <c r="P29" s="136"/>
      <c r="Q29" s="133">
        <f t="shared" ref="Q29:Y29" si="8">MAX(0,Q27-Q28)</f>
        <v>500</v>
      </c>
      <c r="R29" s="133">
        <f t="shared" si="8"/>
        <v>500</v>
      </c>
      <c r="S29" s="133">
        <f t="shared" si="8"/>
        <v>500</v>
      </c>
      <c r="T29" s="133">
        <f t="shared" si="8"/>
        <v>500</v>
      </c>
      <c r="U29" s="133">
        <f t="shared" si="8"/>
        <v>0</v>
      </c>
      <c r="V29" s="133">
        <f t="shared" si="8"/>
        <v>0</v>
      </c>
      <c r="W29" s="133">
        <f t="shared" si="8"/>
        <v>0</v>
      </c>
      <c r="X29" s="133">
        <f t="shared" si="8"/>
        <v>1249.9900000000002</v>
      </c>
      <c r="Y29" s="133">
        <f t="shared" si="8"/>
        <v>1249.9900000000002</v>
      </c>
      <c r="Z29" s="133">
        <f t="shared" ref="Z29" si="9">MAX(0,Z27-Z28)</f>
        <v>1249.9900000000002</v>
      </c>
      <c r="AA29" s="166">
        <f t="shared" ref="AA29" si="10">MAX(0,AA27-AA28)</f>
        <v>1249.9900000000002</v>
      </c>
      <c r="AB29" s="94"/>
      <c r="AC29" s="94"/>
      <c r="AD29" s="94"/>
    </row>
    <row r="30" spans="1:37" s="10" customFormat="1" ht="12.75" x14ac:dyDescent="0.2">
      <c r="A30" s="147"/>
      <c r="B30" s="134" t="s">
        <v>84</v>
      </c>
      <c r="C30" s="102"/>
      <c r="D30" s="103"/>
      <c r="E30" s="165">
        <f>MAX(0,E27-E28-E29)</f>
        <v>4250</v>
      </c>
      <c r="F30" s="133">
        <f>MAX(0,F27-F28-F29)</f>
        <v>4250</v>
      </c>
      <c r="G30" s="133">
        <f>MAX(0,G27-G28-G29)</f>
        <v>4250</v>
      </c>
      <c r="H30" s="135">
        <f>MAX(0,H27-H28-H29)</f>
        <v>4250</v>
      </c>
      <c r="I30" s="133"/>
      <c r="J30" s="133"/>
      <c r="K30" s="133"/>
      <c r="L30" s="133"/>
      <c r="M30" s="133"/>
      <c r="N30" s="133"/>
      <c r="O30" s="133"/>
      <c r="P30" s="133"/>
      <c r="Q30" s="133"/>
      <c r="R30" s="133"/>
      <c r="S30" s="133"/>
      <c r="T30" s="133"/>
      <c r="U30" s="133"/>
      <c r="V30" s="133"/>
      <c r="W30" s="133"/>
      <c r="X30" s="133"/>
      <c r="Y30" s="133"/>
      <c r="Z30" s="127"/>
      <c r="AA30" s="119"/>
      <c r="AB30" s="94"/>
      <c r="AC30" s="94"/>
      <c r="AD30" s="94"/>
    </row>
    <row r="31" spans="1:37" s="10" customFormat="1" ht="12.75" x14ac:dyDescent="0.2">
      <c r="A31" s="94"/>
      <c r="B31" s="137" t="s">
        <v>85</v>
      </c>
      <c r="C31" s="138"/>
      <c r="D31" s="139"/>
      <c r="E31" s="167">
        <f t="shared" ref="E31:U31" si="11">SUM(E28:E30)-E27</f>
        <v>0</v>
      </c>
      <c r="F31" s="140">
        <f t="shared" si="11"/>
        <v>0</v>
      </c>
      <c r="G31" s="140">
        <f t="shared" si="11"/>
        <v>0</v>
      </c>
      <c r="H31" s="141">
        <f t="shared" si="11"/>
        <v>0</v>
      </c>
      <c r="I31" s="140">
        <f t="shared" si="11"/>
        <v>0</v>
      </c>
      <c r="J31" s="140">
        <f t="shared" si="11"/>
        <v>0</v>
      </c>
      <c r="K31" s="140">
        <f t="shared" si="11"/>
        <v>0</v>
      </c>
      <c r="L31" s="140">
        <f t="shared" si="11"/>
        <v>0</v>
      </c>
      <c r="M31" s="140">
        <f t="shared" si="11"/>
        <v>0</v>
      </c>
      <c r="N31" s="140">
        <f t="shared" si="11"/>
        <v>0</v>
      </c>
      <c r="O31" s="140">
        <f t="shared" si="11"/>
        <v>0</v>
      </c>
      <c r="P31" s="140">
        <f t="shared" si="11"/>
        <v>0</v>
      </c>
      <c r="Q31" s="140">
        <f t="shared" si="11"/>
        <v>0</v>
      </c>
      <c r="R31" s="140">
        <f t="shared" si="11"/>
        <v>0</v>
      </c>
      <c r="S31" s="140">
        <f t="shared" si="11"/>
        <v>0</v>
      </c>
      <c r="T31" s="140">
        <f t="shared" si="11"/>
        <v>0</v>
      </c>
      <c r="U31" s="140">
        <f t="shared" si="11"/>
        <v>0</v>
      </c>
      <c r="V31" s="140">
        <f t="shared" ref="V31:AA31" si="12">SUM(V28:V30)-V27</f>
        <v>0</v>
      </c>
      <c r="W31" s="140">
        <f t="shared" si="12"/>
        <v>0</v>
      </c>
      <c r="X31" s="141">
        <f t="shared" si="12"/>
        <v>0</v>
      </c>
      <c r="Y31" s="141">
        <f t="shared" si="12"/>
        <v>0</v>
      </c>
      <c r="Z31" s="141">
        <f t="shared" si="12"/>
        <v>0</v>
      </c>
      <c r="AA31" s="168">
        <f t="shared" si="12"/>
        <v>0</v>
      </c>
      <c r="AB31" s="94"/>
      <c r="AC31" s="94"/>
      <c r="AD31" s="94"/>
    </row>
    <row r="32" spans="1:37" s="10" customFormat="1" ht="12.75" x14ac:dyDescent="0.2">
      <c r="A32" s="94"/>
      <c r="B32" s="107" t="s">
        <v>100</v>
      </c>
      <c r="C32" s="138"/>
      <c r="D32" s="139"/>
      <c r="E32" s="167"/>
      <c r="F32" s="140"/>
      <c r="G32" s="140"/>
      <c r="H32" s="141"/>
      <c r="I32" s="140"/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1"/>
      <c r="Y32" s="141"/>
      <c r="Z32" s="127"/>
      <c r="AA32" s="119"/>
      <c r="AB32" s="94"/>
      <c r="AC32" s="94"/>
      <c r="AD32" s="94"/>
    </row>
    <row r="33" spans="1:30" s="10" customFormat="1" ht="14.25" customHeight="1" x14ac:dyDescent="0.2">
      <c r="A33" s="147"/>
      <c r="B33" s="130" t="s">
        <v>86</v>
      </c>
      <c r="C33" s="102"/>
      <c r="D33" s="103"/>
      <c r="E33" s="165">
        <f>E$14*4</f>
        <v>0</v>
      </c>
      <c r="F33" s="133">
        <f t="shared" ref="F33:T33" si="13">F$14*4</f>
        <v>0</v>
      </c>
      <c r="G33" s="133">
        <f t="shared" si="13"/>
        <v>0</v>
      </c>
      <c r="H33" s="133">
        <f t="shared" si="13"/>
        <v>0</v>
      </c>
      <c r="I33" s="133">
        <f t="shared" si="13"/>
        <v>74.400000000000006</v>
      </c>
      <c r="J33" s="133">
        <f t="shared" si="13"/>
        <v>74.400000000000006</v>
      </c>
      <c r="K33" s="133">
        <f t="shared" si="13"/>
        <v>87.2</v>
      </c>
      <c r="L33" s="133">
        <f t="shared" si="13"/>
        <v>91.2</v>
      </c>
      <c r="M33" s="133">
        <f t="shared" si="13"/>
        <v>96</v>
      </c>
      <c r="N33" s="133">
        <f t="shared" si="13"/>
        <v>97.68</v>
      </c>
      <c r="O33" s="133">
        <f t="shared" si="13"/>
        <v>113.12</v>
      </c>
      <c r="P33" s="133">
        <f t="shared" si="13"/>
        <v>133.63999999999999</v>
      </c>
      <c r="Q33" s="133">
        <f t="shared" si="13"/>
        <v>187.16363636363636</v>
      </c>
      <c r="R33" s="133">
        <f t="shared" si="13"/>
        <v>189.6</v>
      </c>
      <c r="S33" s="133">
        <f t="shared" si="13"/>
        <v>189.6</v>
      </c>
      <c r="T33" s="133">
        <f t="shared" si="13"/>
        <v>181.6</v>
      </c>
      <c r="U33" s="133">
        <f t="shared" ref="U33:AA33" si="14">U$14*4</f>
        <v>166.36999999999998</v>
      </c>
      <c r="V33" s="133">
        <f t="shared" si="14"/>
        <v>168.68</v>
      </c>
      <c r="W33" s="133">
        <f t="shared" si="14"/>
        <v>176.00300000000001</v>
      </c>
      <c r="X33" s="133">
        <f t="shared" si="14"/>
        <v>190.49349999999998</v>
      </c>
      <c r="Y33" s="133">
        <f t="shared" si="14"/>
        <v>157.607</v>
      </c>
      <c r="Z33" s="133">
        <f t="shared" si="14"/>
        <v>161.69499999999999</v>
      </c>
      <c r="AA33" s="166">
        <f t="shared" si="14"/>
        <v>171.87850000000003</v>
      </c>
      <c r="AB33" s="94"/>
      <c r="AC33" s="94"/>
      <c r="AD33" s="94"/>
    </row>
    <row r="34" spans="1:30" s="10" customFormat="1" ht="14.25" customHeight="1" x14ac:dyDescent="0.2">
      <c r="A34" s="147"/>
      <c r="B34" s="130" t="s">
        <v>87</v>
      </c>
      <c r="C34" s="102"/>
      <c r="D34" s="103"/>
      <c r="E34" s="165">
        <f>E28*E$19/100*4</f>
        <v>83.500799999999998</v>
      </c>
      <c r="F34" s="133">
        <f>F28*F$19/100*4</f>
        <v>83.500799999999998</v>
      </c>
      <c r="G34" s="133">
        <f>G28*G$19/100*4</f>
        <v>80.708800000000011</v>
      </c>
      <c r="H34" s="133">
        <f t="shared" ref="H34:T34" si="15">H28*H$19/100*4</f>
        <v>79.127200000000002</v>
      </c>
      <c r="I34" s="133">
        <f t="shared" si="15"/>
        <v>189.55833333333337</v>
      </c>
      <c r="J34" s="133">
        <f t="shared" si="15"/>
        <v>195.10833333333335</v>
      </c>
      <c r="K34" s="133">
        <f t="shared" si="15"/>
        <v>199.04</v>
      </c>
      <c r="L34" s="133">
        <f t="shared" si="15"/>
        <v>205.48</v>
      </c>
      <c r="M34" s="133">
        <f t="shared" si="15"/>
        <v>214.54000000000005</v>
      </c>
      <c r="N34" s="133">
        <f t="shared" si="15"/>
        <v>221.02</v>
      </c>
      <c r="O34" s="133">
        <f t="shared" si="15"/>
        <v>230.38</v>
      </c>
      <c r="P34" s="133">
        <f t="shared" si="15"/>
        <v>242.6</v>
      </c>
      <c r="Q34" s="133">
        <f t="shared" si="15"/>
        <v>194.23636363636365</v>
      </c>
      <c r="R34" s="133">
        <f t="shared" si="15"/>
        <v>205.92</v>
      </c>
      <c r="S34" s="133">
        <f t="shared" si="15"/>
        <v>217.62</v>
      </c>
      <c r="T34" s="133">
        <f t="shared" si="15"/>
        <v>235.08</v>
      </c>
      <c r="U34" s="133">
        <f t="shared" ref="U34:Z34" si="16">U28*U$19/100*4</f>
        <v>306.75000000000006</v>
      </c>
      <c r="V34" s="133">
        <f t="shared" si="16"/>
        <v>322.2</v>
      </c>
      <c r="W34" s="133">
        <f t="shared" si="16"/>
        <v>336.2</v>
      </c>
      <c r="X34" s="133">
        <f t="shared" si="16"/>
        <v>265.8007088</v>
      </c>
      <c r="Y34" s="133">
        <f t="shared" si="16"/>
        <v>373.6509964</v>
      </c>
      <c r="Z34" s="133">
        <f t="shared" si="16"/>
        <v>445.05118679999998</v>
      </c>
      <c r="AA34" s="166">
        <f t="shared" ref="AA34" si="17">AA28*AA$19/100*4</f>
        <v>493.05131479999994</v>
      </c>
      <c r="AB34" s="94"/>
      <c r="AC34" s="94"/>
      <c r="AD34" s="94"/>
    </row>
    <row r="35" spans="1:30" s="10" customFormat="1" ht="14.25" customHeight="1" x14ac:dyDescent="0.2">
      <c r="A35" s="147"/>
      <c r="B35" s="130" t="s">
        <v>88</v>
      </c>
      <c r="C35" s="102"/>
      <c r="D35" s="103"/>
      <c r="E35" s="165">
        <f>E29*E$21/100*4</f>
        <v>5.9034000000000004</v>
      </c>
      <c r="F35" s="133">
        <f>F29*F$21/100*4</f>
        <v>12.14165</v>
      </c>
      <c r="G35" s="133">
        <f>G29*G$21/100*4</f>
        <v>20.177200000000003</v>
      </c>
      <c r="H35" s="133">
        <f t="shared" ref="H35:T35" si="18">H29*H$21/100*4</f>
        <v>19.7818</v>
      </c>
      <c r="I35" s="133">
        <f t="shared" si="18"/>
        <v>0</v>
      </c>
      <c r="J35" s="133">
        <f t="shared" si="18"/>
        <v>0</v>
      </c>
      <c r="K35" s="133">
        <f t="shared" si="18"/>
        <v>0</v>
      </c>
      <c r="L35" s="133">
        <f t="shared" si="18"/>
        <v>0</v>
      </c>
      <c r="M35" s="133">
        <f t="shared" si="18"/>
        <v>0</v>
      </c>
      <c r="N35" s="133">
        <f t="shared" si="18"/>
        <v>0</v>
      </c>
      <c r="O35" s="133">
        <f t="shared" si="18"/>
        <v>0</v>
      </c>
      <c r="P35" s="133">
        <f t="shared" si="18"/>
        <v>0</v>
      </c>
      <c r="Q35" s="133">
        <f t="shared" si="18"/>
        <v>24.363636363636363</v>
      </c>
      <c r="R35" s="133">
        <f t="shared" si="18"/>
        <v>24.84</v>
      </c>
      <c r="S35" s="133">
        <f t="shared" si="18"/>
        <v>25.76</v>
      </c>
      <c r="T35" s="133">
        <f t="shared" si="18"/>
        <v>27.14</v>
      </c>
      <c r="U35" s="133">
        <f t="shared" ref="U35:Z35" si="19">U29*U$21/100*4</f>
        <v>0</v>
      </c>
      <c r="V35" s="133">
        <f t="shared" si="19"/>
        <v>0</v>
      </c>
      <c r="W35" s="133">
        <f t="shared" si="19"/>
        <v>0</v>
      </c>
      <c r="X35" s="133">
        <f t="shared" si="19"/>
        <v>84.84932120000002</v>
      </c>
      <c r="Y35" s="133">
        <f t="shared" si="19"/>
        <v>74.949400400000016</v>
      </c>
      <c r="Z35" s="133">
        <f t="shared" si="19"/>
        <v>87.899296800000016</v>
      </c>
      <c r="AA35" s="166">
        <f t="shared" ref="AA35" si="20">AA29*AA$21/100*4</f>
        <v>96.249230000000026</v>
      </c>
      <c r="AB35" s="94"/>
      <c r="AC35" s="94"/>
      <c r="AD35" s="94"/>
    </row>
    <row r="36" spans="1:30" s="10" customFormat="1" ht="14.25" customHeight="1" x14ac:dyDescent="0.2">
      <c r="A36" s="147"/>
      <c r="B36" s="130" t="s">
        <v>89</v>
      </c>
      <c r="C36" s="102"/>
      <c r="D36" s="103"/>
      <c r="E36" s="165">
        <f>E30*E$23/100*4</f>
        <v>167.26300000000001</v>
      </c>
      <c r="F36" s="133">
        <f>F30*F$23/100*4</f>
        <v>159.90341666666666</v>
      </c>
      <c r="G36" s="133">
        <f>G30*G$23/100*4</f>
        <v>149.6</v>
      </c>
      <c r="H36" s="133">
        <f t="shared" ref="H36:T36" si="21">H30*H$23/100*4</f>
        <v>154.13333333333333</v>
      </c>
      <c r="I36" s="133">
        <f t="shared" si="21"/>
        <v>0</v>
      </c>
      <c r="J36" s="133">
        <f t="shared" si="21"/>
        <v>0</v>
      </c>
      <c r="K36" s="133">
        <f t="shared" si="21"/>
        <v>0</v>
      </c>
      <c r="L36" s="133">
        <f t="shared" si="21"/>
        <v>0</v>
      </c>
      <c r="M36" s="133">
        <f t="shared" si="21"/>
        <v>0</v>
      </c>
      <c r="N36" s="133">
        <f t="shared" si="21"/>
        <v>0</v>
      </c>
      <c r="O36" s="133">
        <f t="shared" si="21"/>
        <v>0</v>
      </c>
      <c r="P36" s="133">
        <f t="shared" si="21"/>
        <v>0</v>
      </c>
      <c r="Q36" s="133">
        <f t="shared" si="21"/>
        <v>0</v>
      </c>
      <c r="R36" s="133">
        <f t="shared" si="21"/>
        <v>0</v>
      </c>
      <c r="S36" s="133">
        <f t="shared" si="21"/>
        <v>0</v>
      </c>
      <c r="T36" s="133">
        <f t="shared" si="21"/>
        <v>0</v>
      </c>
      <c r="U36" s="133">
        <f t="shared" ref="U36:Z36" si="22">U30*U$23/100*4</f>
        <v>0</v>
      </c>
      <c r="V36" s="133">
        <f t="shared" si="22"/>
        <v>0</v>
      </c>
      <c r="W36" s="133">
        <f t="shared" si="22"/>
        <v>0</v>
      </c>
      <c r="X36" s="133">
        <f t="shared" si="22"/>
        <v>0</v>
      </c>
      <c r="Y36" s="133">
        <f t="shared" si="22"/>
        <v>0</v>
      </c>
      <c r="Z36" s="133">
        <f t="shared" si="22"/>
        <v>0</v>
      </c>
      <c r="AA36" s="166">
        <f t="shared" ref="AA36" si="23">AA30*AA$23/100*4</f>
        <v>0</v>
      </c>
      <c r="AB36" s="94"/>
      <c r="AC36" s="94"/>
      <c r="AD36" s="94"/>
    </row>
    <row r="37" spans="1:30" s="10" customFormat="1" ht="12.75" x14ac:dyDescent="0.2">
      <c r="A37" s="147"/>
      <c r="B37" s="101" t="s">
        <v>90</v>
      </c>
      <c r="C37" s="102" t="s">
        <v>91</v>
      </c>
      <c r="D37" s="103"/>
      <c r="E37" s="170">
        <f>MAX(SUM(E33:E36),E$18*4)</f>
        <v>256.66719999999998</v>
      </c>
      <c r="F37" s="171">
        <f t="shared" ref="F37:T37" si="24">MAX(SUM(F33:F36),F$18*4)</f>
        <v>255.54586666666665</v>
      </c>
      <c r="G37" s="171">
        <f t="shared" si="24"/>
        <v>250.48599999999999</v>
      </c>
      <c r="H37" s="171">
        <f t="shared" si="24"/>
        <v>253.04233333333332</v>
      </c>
      <c r="I37" s="171">
        <f t="shared" si="24"/>
        <v>263.95833333333337</v>
      </c>
      <c r="J37" s="171">
        <f t="shared" si="24"/>
        <v>269.50833333333333</v>
      </c>
      <c r="K37" s="171">
        <f t="shared" si="24"/>
        <v>286.24</v>
      </c>
      <c r="L37" s="171">
        <f t="shared" si="24"/>
        <v>296.68</v>
      </c>
      <c r="M37" s="171">
        <f t="shared" si="24"/>
        <v>310.54000000000008</v>
      </c>
      <c r="N37" s="171">
        <f t="shared" si="24"/>
        <v>318.70000000000005</v>
      </c>
      <c r="O37" s="171">
        <f>MAX(SUM(O33:O36),O$18*4)</f>
        <v>343.5</v>
      </c>
      <c r="P37" s="171">
        <f t="shared" si="24"/>
        <v>376.24</v>
      </c>
      <c r="Q37" s="171">
        <f t="shared" si="24"/>
        <v>405.76363636363635</v>
      </c>
      <c r="R37" s="171">
        <f t="shared" si="24"/>
        <v>420.35999999999996</v>
      </c>
      <c r="S37" s="171">
        <f t="shared" si="24"/>
        <v>432.98</v>
      </c>
      <c r="T37" s="171">
        <f t="shared" si="24"/>
        <v>443.82</v>
      </c>
      <c r="U37" s="171">
        <f t="shared" ref="U37:Z37" si="25">MAX(SUM(U33:U36),U$18*4)</f>
        <v>473.12</v>
      </c>
      <c r="V37" s="171">
        <f t="shared" si="25"/>
        <v>490.88</v>
      </c>
      <c r="W37" s="171">
        <f t="shared" si="25"/>
        <v>512.20299999999997</v>
      </c>
      <c r="X37" s="171">
        <f t="shared" si="25"/>
        <v>541.14353000000006</v>
      </c>
      <c r="Y37" s="171">
        <f t="shared" si="25"/>
        <v>606.20739680000008</v>
      </c>
      <c r="Z37" s="171">
        <f t="shared" si="25"/>
        <v>694.64548360000003</v>
      </c>
      <c r="AA37" s="172">
        <f t="shared" ref="AA37" si="26">MAX(SUM(AA33:AA36),AA$18*4)</f>
        <v>761.17904480000004</v>
      </c>
      <c r="AB37" s="94"/>
      <c r="AC37" s="94"/>
      <c r="AD37" s="94"/>
    </row>
    <row r="38" spans="1:30" s="10" customFormat="1" ht="12.75" x14ac:dyDescent="0.2">
      <c r="A38" s="147"/>
      <c r="B38" s="151" t="s">
        <v>93</v>
      </c>
      <c r="C38" s="102"/>
      <c r="D38" s="103"/>
      <c r="E38" s="170">
        <f>E37*(1+E$8)</f>
        <v>256.66719999999998</v>
      </c>
      <c r="F38" s="171">
        <f t="shared" ref="F38:Y38" si="27">F37*(1+F$8)</f>
        <v>255.54586666666665</v>
      </c>
      <c r="G38" s="171">
        <f t="shared" si="27"/>
        <v>250.48599999999999</v>
      </c>
      <c r="H38" s="171">
        <f t="shared" si="27"/>
        <v>253.04233333333332</v>
      </c>
      <c r="I38" s="171">
        <f t="shared" si="27"/>
        <v>263.95833333333337</v>
      </c>
      <c r="J38" s="171">
        <f t="shared" si="27"/>
        <v>269.50833333333333</v>
      </c>
      <c r="K38" s="171">
        <f t="shared" si="27"/>
        <v>286.24</v>
      </c>
      <c r="L38" s="171">
        <f t="shared" si="27"/>
        <v>296.68</v>
      </c>
      <c r="M38" s="171">
        <f t="shared" si="27"/>
        <v>310.54000000000008</v>
      </c>
      <c r="N38" s="171">
        <f t="shared" si="27"/>
        <v>350.57000000000005</v>
      </c>
      <c r="O38" s="171">
        <f t="shared" si="27"/>
        <v>377.85</v>
      </c>
      <c r="P38" s="171">
        <f t="shared" si="27"/>
        <v>413.86400000000003</v>
      </c>
      <c r="Q38" s="171">
        <f t="shared" si="27"/>
        <v>446.34000000000003</v>
      </c>
      <c r="R38" s="171">
        <f t="shared" si="27"/>
        <v>462.39600000000002</v>
      </c>
      <c r="S38" s="171">
        <f t="shared" si="27"/>
        <v>476.27800000000008</v>
      </c>
      <c r="T38" s="171">
        <f t="shared" si="27"/>
        <v>488.20200000000006</v>
      </c>
      <c r="U38" s="171">
        <f t="shared" si="27"/>
        <v>520.43200000000002</v>
      </c>
      <c r="V38" s="171">
        <f t="shared" si="27"/>
        <v>539.96800000000007</v>
      </c>
      <c r="W38" s="171">
        <f t="shared" si="27"/>
        <v>563.42330000000004</v>
      </c>
      <c r="X38" s="171">
        <f t="shared" si="27"/>
        <v>595.25788300000011</v>
      </c>
      <c r="Y38" s="171">
        <f t="shared" si="27"/>
        <v>666.82813648000013</v>
      </c>
      <c r="Z38" s="171">
        <f>Z37*(1+Z$8)</f>
        <v>764.11003196000013</v>
      </c>
      <c r="AA38" s="172">
        <f>AA37*(1+AA$8)</f>
        <v>837.29694928000015</v>
      </c>
      <c r="AB38" s="94"/>
      <c r="AC38" s="94"/>
      <c r="AD38" s="94"/>
    </row>
    <row r="39" spans="1:30" s="10" customFormat="1" ht="12.75" x14ac:dyDescent="0.2">
      <c r="A39" s="147"/>
      <c r="B39" s="151" t="s">
        <v>95</v>
      </c>
      <c r="C39" s="102" t="str">
        <f>C37</f>
        <v>$</v>
      </c>
      <c r="D39" s="103"/>
      <c r="E39" s="101"/>
      <c r="F39" s="142">
        <f t="shared" ref="F39:T39" si="28">F38-E38</f>
        <v>-1.1213333333333253</v>
      </c>
      <c r="G39" s="142">
        <f t="shared" si="28"/>
        <v>-5.0598666666666645</v>
      </c>
      <c r="H39" s="142">
        <f t="shared" si="28"/>
        <v>2.5563333333333276</v>
      </c>
      <c r="I39" s="142">
        <f t="shared" si="28"/>
        <v>10.916000000000054</v>
      </c>
      <c r="J39" s="142">
        <f t="shared" si="28"/>
        <v>5.5499999999999545</v>
      </c>
      <c r="K39" s="142">
        <f t="shared" si="28"/>
        <v>16.731666666666683</v>
      </c>
      <c r="L39" s="142">
        <f t="shared" si="28"/>
        <v>10.439999999999998</v>
      </c>
      <c r="M39" s="142">
        <f t="shared" si="28"/>
        <v>13.86000000000007</v>
      </c>
      <c r="N39" s="142">
        <f t="shared" si="28"/>
        <v>40.029999999999973</v>
      </c>
      <c r="O39" s="142">
        <f t="shared" si="28"/>
        <v>27.279999999999973</v>
      </c>
      <c r="P39" s="142">
        <f t="shared" si="28"/>
        <v>36.01400000000001</v>
      </c>
      <c r="Q39" s="142">
        <f t="shared" si="28"/>
        <v>32.475999999999999</v>
      </c>
      <c r="R39" s="142">
        <f t="shared" si="28"/>
        <v>16.055999999999983</v>
      </c>
      <c r="S39" s="142">
        <f t="shared" si="28"/>
        <v>13.882000000000062</v>
      </c>
      <c r="T39" s="142">
        <f t="shared" si="28"/>
        <v>11.923999999999978</v>
      </c>
      <c r="U39" s="142">
        <f t="shared" ref="U39:Y39" si="29">U38-T38</f>
        <v>32.229999999999961</v>
      </c>
      <c r="V39" s="142">
        <f t="shared" si="29"/>
        <v>19.536000000000058</v>
      </c>
      <c r="W39" s="142">
        <f t="shared" si="29"/>
        <v>23.455299999999966</v>
      </c>
      <c r="X39" s="142">
        <f t="shared" si="29"/>
        <v>31.834583000000066</v>
      </c>
      <c r="Y39" s="142">
        <f t="shared" si="29"/>
        <v>71.570253480000019</v>
      </c>
      <c r="Z39" s="142">
        <f>Z38-Y38</f>
        <v>97.281895480000003</v>
      </c>
      <c r="AA39" s="169">
        <f>AA38-Z38</f>
        <v>73.18691732000002</v>
      </c>
      <c r="AB39" s="94"/>
      <c r="AC39" s="94"/>
      <c r="AD39" s="94"/>
    </row>
    <row r="40" spans="1:30" s="10" customFormat="1" ht="12.75" x14ac:dyDescent="0.2">
      <c r="A40" s="147"/>
      <c r="B40" s="152" t="s">
        <v>94</v>
      </c>
      <c r="C40" s="144"/>
      <c r="D40" s="145"/>
      <c r="E40" s="143"/>
      <c r="F40" s="153">
        <f>IF(E38=0,0,F39/E38)</f>
        <v>-4.3688220907592609E-3</v>
      </c>
      <c r="G40" s="153">
        <f t="shared" ref="G40:U40" si="30">IF(F38=0,0,G39/F38)</f>
        <v>-1.9800228947810534E-2</v>
      </c>
      <c r="H40" s="153">
        <f t="shared" si="30"/>
        <v>1.0205493853282529E-2</v>
      </c>
      <c r="I40" s="153">
        <f>IF(H38=0,0,I39/H38)</f>
        <v>4.3139026803156996E-2</v>
      </c>
      <c r="J40" s="153">
        <f t="shared" si="30"/>
        <v>2.1026045777426818E-2</v>
      </c>
      <c r="K40" s="153">
        <f t="shared" si="30"/>
        <v>6.208218669799951E-2</v>
      </c>
      <c r="L40" s="153">
        <f t="shared" si="30"/>
        <v>3.6472889882615975E-2</v>
      </c>
      <c r="M40" s="153">
        <f t="shared" si="30"/>
        <v>4.6717001483079647E-2</v>
      </c>
      <c r="N40" s="153">
        <f t="shared" si="30"/>
        <v>0.12890448895472392</v>
      </c>
      <c r="O40" s="153">
        <f t="shared" si="30"/>
        <v>7.781612802008149E-2</v>
      </c>
      <c r="P40" s="153">
        <f t="shared" si="30"/>
        <v>9.531295487627367E-2</v>
      </c>
      <c r="Q40" s="146">
        <f t="shared" si="30"/>
        <v>7.8470222101946527E-2</v>
      </c>
      <c r="R40" s="153">
        <f t="shared" si="30"/>
        <v>3.5972576959268678E-2</v>
      </c>
      <c r="S40" s="153">
        <f t="shared" si="30"/>
        <v>3.0021886002474202E-2</v>
      </c>
      <c r="T40" s="153">
        <f t="shared" si="30"/>
        <v>2.5035798420250308E-2</v>
      </c>
      <c r="U40" s="153">
        <f t="shared" si="30"/>
        <v>6.6017754945698615E-2</v>
      </c>
      <c r="V40" s="153">
        <f t="shared" ref="V40:AA40" si="31">IF(U38=0,0,V39/U38)</f>
        <v>3.7538045316198962E-2</v>
      </c>
      <c r="W40" s="153">
        <f t="shared" si="31"/>
        <v>4.3438314863102928E-2</v>
      </c>
      <c r="X40" s="153">
        <f t="shared" si="31"/>
        <v>5.6502070468154343E-2</v>
      </c>
      <c r="Y40" s="153">
        <f t="shared" si="31"/>
        <v>0.12023402885367586</v>
      </c>
      <c r="Z40" s="153">
        <f t="shared" si="31"/>
        <v>0.14588750857683364</v>
      </c>
      <c r="AA40" s="153">
        <f t="shared" si="31"/>
        <v>9.5780599990645365E-2</v>
      </c>
    </row>
    <row r="41" spans="1:30" x14ac:dyDescent="0.2">
      <c r="F41" s="173"/>
      <c r="G41" s="173"/>
      <c r="H41" s="173"/>
      <c r="I41" s="173"/>
      <c r="J41" s="173"/>
      <c r="K41" s="173"/>
      <c r="L41" s="173"/>
      <c r="M41" s="173"/>
      <c r="N41" s="173"/>
      <c r="O41" s="173"/>
      <c r="P41" s="173"/>
      <c r="Q41" s="173"/>
      <c r="R41" s="173"/>
      <c r="S41" s="173"/>
      <c r="T41" s="173"/>
      <c r="U41" s="173"/>
      <c r="V41" s="173"/>
      <c r="W41" s="173"/>
      <c r="X41" s="173"/>
      <c r="Y41" s="173"/>
    </row>
    <row r="42" spans="1:30" x14ac:dyDescent="0.2">
      <c r="AA42" s="30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Examples</vt:lpstr>
      <vt:lpstr>AGL residential gas customer</vt:lpstr>
    </vt:vector>
  </TitlesOfParts>
  <Company>IPART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Bee Thompson</dc:creator>
  <cp:lastModifiedBy>Denise Reid</cp:lastModifiedBy>
  <dcterms:created xsi:type="dcterms:W3CDTF">2012-06-20T01:28:41Z</dcterms:created>
  <dcterms:modified xsi:type="dcterms:W3CDTF">2013-09-24T03:28:46Z</dcterms:modified>
</cp:coreProperties>
</file>